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3"/>
  </bookViews>
  <sheets>
    <sheet name="Kom.reitings" sheetId="1" r:id="rId1"/>
    <sheet name="Vīr.reit.2.aplis" sheetId="2" r:id="rId2"/>
    <sheet name="Punkti" sheetId="3" r:id="rId3"/>
    <sheet name="Siev.reit.2.aplis" sheetId="4" r:id="rId4"/>
    <sheet name="Rezultati" sheetId="5" r:id="rId5"/>
    <sheet name="spliti" sheetId="6" r:id="rId6"/>
  </sheets>
  <externalReferences>
    <externalReference r:id="rId9"/>
  </externalReferences>
  <definedNames>
    <definedName name="Excel_BuiltIn__FilterDatabase" localSheetId="0">'Kom.reitings'!#REF!</definedName>
    <definedName name="Excel_BuiltIn__FilterDatabase" localSheetId="1">'Vīr.reit.2.aplis'!$C$3:$J$31</definedName>
  </definedNames>
  <calcPr fullCalcOnLoad="1"/>
</workbook>
</file>

<file path=xl/sharedStrings.xml><?xml version="1.0" encoding="utf-8"?>
<sst xmlns="http://schemas.openxmlformats.org/spreadsheetml/2006/main" count="288" uniqueCount="96">
  <si>
    <t>Rezultāti</t>
  </si>
  <si>
    <t>Vieta</t>
  </si>
  <si>
    <t>Komanda</t>
  </si>
  <si>
    <t>Punkti</t>
  </si>
  <si>
    <t>Par summu</t>
  </si>
  <si>
    <t>Ieskaites punkti</t>
  </si>
  <si>
    <t>Punkti salidzināšanai</t>
  </si>
  <si>
    <t>Kopā</t>
  </si>
  <si>
    <t>Komandas vidējais</t>
  </si>
  <si>
    <t>Vārds, Uzvārds</t>
  </si>
  <si>
    <t>Spēles I</t>
  </si>
  <si>
    <t>Summa I</t>
  </si>
  <si>
    <t>Vidējais I</t>
  </si>
  <si>
    <t>Spēles II</t>
  </si>
  <si>
    <t>Summa II</t>
  </si>
  <si>
    <t>Vidējais II</t>
  </si>
  <si>
    <t>Spēles</t>
  </si>
  <si>
    <t>Summa</t>
  </si>
  <si>
    <t xml:space="preserve">Vidējais </t>
  </si>
  <si>
    <t>iMarketings</t>
  </si>
  <si>
    <t>Daniels Bambals</t>
  </si>
  <si>
    <t>1. sp.</t>
  </si>
  <si>
    <t>-2. sp.</t>
  </si>
  <si>
    <t>3. sp.</t>
  </si>
  <si>
    <t>4. sp.</t>
  </si>
  <si>
    <t>iesk.</t>
  </si>
  <si>
    <t>Pinfall</t>
  </si>
  <si>
    <t>Forsāža</t>
  </si>
  <si>
    <t>BASK APS</t>
  </si>
  <si>
    <t>Universal Services</t>
  </si>
  <si>
    <t>Korness</t>
  </si>
  <si>
    <t>SamoKat-2</t>
  </si>
  <si>
    <t>Vissparboulingu.lv</t>
  </si>
  <si>
    <t>Energy Sistem</t>
  </si>
  <si>
    <t>Handicap</t>
  </si>
  <si>
    <t>Vidējais rezultāts</t>
  </si>
  <si>
    <t>PEDEJAIS</t>
  </si>
  <si>
    <t>VISI KOPĀ</t>
  </si>
  <si>
    <t>1.sp</t>
  </si>
  <si>
    <t>2.sp</t>
  </si>
  <si>
    <t>3.sp</t>
  </si>
  <si>
    <t>4.sp</t>
  </si>
  <si>
    <t>iMarketīngs</t>
  </si>
  <si>
    <t>Iveta Jakušenoka</t>
  </si>
  <si>
    <t>Ivars Lauris</t>
  </si>
  <si>
    <t>Valērijs Nizkodubovs</t>
  </si>
  <si>
    <t>Mārtiņš Lasmanis</t>
  </si>
  <si>
    <t>Boriss Simsons</t>
  </si>
  <si>
    <t>Jānis Raņķis</t>
  </si>
  <si>
    <t>Edgars Ozols</t>
  </si>
  <si>
    <t>Jānis Surna</t>
  </si>
  <si>
    <t>Ilze Raņķe</t>
  </si>
  <si>
    <t>Edgars Bloms</t>
  </si>
  <si>
    <t>Karīna Maslova</t>
  </si>
  <si>
    <t>Gints Aksiks</t>
  </si>
  <si>
    <t>Jānis Ļaksa</t>
  </si>
  <si>
    <t>Igors Gnocs</t>
  </si>
  <si>
    <t>Oļegs Kirevičevs</t>
  </si>
  <si>
    <t>Elvis Volkops</t>
  </si>
  <si>
    <t>Rihards Meijers</t>
  </si>
  <si>
    <t>Eduārds Kobiļuks</t>
  </si>
  <si>
    <t>non player</t>
  </si>
  <si>
    <t>Valdis Skudra</t>
  </si>
  <si>
    <t>Aivars Dolģis</t>
  </si>
  <si>
    <t>Linda Tomsone</t>
  </si>
  <si>
    <t>Dace Anspaks</t>
  </si>
  <si>
    <t>Nikolajs Ļevikins</t>
  </si>
  <si>
    <t>Aleksandra Litvjakova</t>
  </si>
  <si>
    <t>Jānis Zalītis</t>
  </si>
  <si>
    <t>Kārlis Lanģis</t>
  </si>
  <si>
    <t>Ivars Vizulis</t>
  </si>
  <si>
    <t>Elvijs Dimpers</t>
  </si>
  <si>
    <t>Edgars Kobiļuks</t>
  </si>
  <si>
    <t>Artūrs Kaliņins</t>
  </si>
  <si>
    <t>Maksims Jefimovs</t>
  </si>
  <si>
    <t>Ģirts Priekulis</t>
  </si>
  <si>
    <t>Dmitrijs Voļfsons</t>
  </si>
  <si>
    <t>Evija Vende Priekule</t>
  </si>
  <si>
    <t>D 09/02</t>
  </si>
  <si>
    <t>Total</t>
  </si>
  <si>
    <t>samaksa</t>
  </si>
  <si>
    <t>BASK</t>
  </si>
  <si>
    <t>Leonīds Arsentjevs</t>
  </si>
  <si>
    <t>Jeļena Kuruško</t>
  </si>
  <si>
    <t>Svetlana Jemeljanova</t>
  </si>
  <si>
    <t>Staņislāvs Mucinieks</t>
  </si>
  <si>
    <t>SamoKat 2</t>
  </si>
  <si>
    <t>Konstantīns Ļeonovs</t>
  </si>
  <si>
    <t>Tatjana Telnova</t>
  </si>
  <si>
    <t>RTU</t>
  </si>
  <si>
    <t>Jānis Ieviņš</t>
  </si>
  <si>
    <t>Aldis Lapiņš</t>
  </si>
  <si>
    <t>Rihards Zābers</t>
  </si>
  <si>
    <t>Jānis Bartašauskis</t>
  </si>
  <si>
    <t>Annija Celmiņa</t>
  </si>
  <si>
    <t>Macību iestāde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</si>
</sst>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DD/MM/YYYY"/>
  </numFmts>
  <fonts count="35">
    <font>
      <sz val="10"/>
      <name val="Arial"/>
      <family val="2"/>
    </font>
    <font>
      <sz val="12"/>
      <name val="Arial Baltic"/>
      <family val="2"/>
    </font>
    <font>
      <b/>
      <sz val="12"/>
      <color indexed="12"/>
      <name val="CentSchbook TL"/>
      <family val="1"/>
    </font>
    <font>
      <b/>
      <sz val="12"/>
      <name val="CentSchbook TL"/>
      <family val="1"/>
    </font>
    <font>
      <b/>
      <sz val="10"/>
      <name val="CentSchbook TL"/>
      <family val="1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40"/>
      <color indexed="12"/>
      <name val="Century Schoolbook"/>
      <family val="1"/>
    </font>
    <font>
      <b/>
      <sz val="14"/>
      <name val="Book Antiqua"/>
      <family val="1"/>
    </font>
    <font>
      <sz val="18"/>
      <name val="Century Schoolbook"/>
      <family val="1"/>
    </font>
    <font>
      <b/>
      <sz val="13"/>
      <color indexed="10"/>
      <name val="Book Antiqua"/>
      <family val="1"/>
    </font>
    <font>
      <b/>
      <sz val="14"/>
      <color indexed="16"/>
      <name val="CentSchbook TL"/>
      <family val="1"/>
    </font>
    <font>
      <b/>
      <sz val="13"/>
      <color indexed="12"/>
      <name val="Book Antiqua"/>
      <family val="1"/>
    </font>
    <font>
      <b/>
      <sz val="14"/>
      <color indexed="12"/>
      <name val="CentSchbook TL"/>
      <family val="1"/>
    </font>
    <font>
      <b/>
      <sz val="13"/>
      <name val="Book Antiqua"/>
      <family val="1"/>
    </font>
    <font>
      <b/>
      <sz val="14"/>
      <color indexed="8"/>
      <name val="CentSchbook TL"/>
      <family val="1"/>
    </font>
    <font>
      <b/>
      <sz val="36"/>
      <color indexed="12"/>
      <name val="Century Schoolbook"/>
      <family val="1"/>
    </font>
    <font>
      <b/>
      <sz val="10"/>
      <name val="Arial"/>
      <family val="2"/>
    </font>
    <font>
      <sz val="12"/>
      <name val="Bookman Old Style"/>
      <family val="1"/>
    </font>
    <font>
      <sz val="12"/>
      <color indexed="10"/>
      <name val="Bookman Old Style"/>
      <family val="1"/>
    </font>
    <font>
      <b/>
      <sz val="18"/>
      <name val="Century Schoolbook"/>
      <family val="1"/>
    </font>
    <font>
      <b/>
      <sz val="12"/>
      <color indexed="10"/>
      <name val="Bookman Old Style"/>
      <family val="1"/>
    </font>
    <font>
      <b/>
      <sz val="12"/>
      <color indexed="62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36"/>
      <color indexed="12"/>
      <name val="Century Schoolbook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/>
    </xf>
    <xf numFmtId="166" fontId="0" fillId="0" borderId="0" xfId="0" applyNumberFormat="1" applyAlignment="1">
      <alignment horizontal="center"/>
    </xf>
    <xf numFmtId="164" fontId="10" fillId="0" borderId="6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1" fillId="0" borderId="7" xfId="0" applyFont="1" applyFill="1" applyBorder="1" applyAlignment="1" applyProtection="1">
      <alignment horizontal="center" vertical="center" textRotation="90" wrapText="1"/>
      <protection hidden="1"/>
    </xf>
    <xf numFmtId="164" fontId="11" fillId="0" borderId="3" xfId="0" applyFont="1" applyFill="1" applyBorder="1" applyAlignment="1" applyProtection="1">
      <alignment horizontal="center" vertical="center" textRotation="90" wrapText="1"/>
      <protection hidden="1"/>
    </xf>
    <xf numFmtId="166" fontId="11" fillId="0" borderId="7" xfId="0" applyNumberFormat="1" applyFont="1" applyBorder="1" applyAlignment="1" applyProtection="1">
      <alignment horizontal="center" vertical="center" textRotation="90" wrapText="1"/>
      <protection hidden="1"/>
    </xf>
    <xf numFmtId="164" fontId="11" fillId="0" borderId="7" xfId="0" applyFont="1" applyBorder="1" applyAlignment="1" applyProtection="1">
      <alignment horizontal="center" vertical="center" textRotation="90" wrapText="1"/>
      <protection hidden="1"/>
    </xf>
    <xf numFmtId="164" fontId="12" fillId="0" borderId="1" xfId="0" applyFont="1" applyBorder="1" applyAlignment="1">
      <alignment horizontal="center"/>
    </xf>
    <xf numFmtId="164" fontId="13" fillId="0" borderId="8" xfId="0" applyFont="1" applyFill="1" applyBorder="1" applyAlignment="1">
      <alignment horizontal="right"/>
    </xf>
    <xf numFmtId="164" fontId="13" fillId="0" borderId="8" xfId="0" applyFont="1" applyFill="1" applyBorder="1" applyAlignment="1">
      <alignment horizontal="center"/>
    </xf>
    <xf numFmtId="166" fontId="13" fillId="0" borderId="8" xfId="0" applyNumberFormat="1" applyFont="1" applyFill="1" applyBorder="1" applyAlignment="1">
      <alignment horizontal="center"/>
    </xf>
    <xf numFmtId="164" fontId="13" fillId="0" borderId="8" xfId="0" applyFont="1" applyBorder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15" fillId="0" borderId="8" xfId="0" applyFont="1" applyFill="1" applyBorder="1" applyAlignment="1">
      <alignment horizontal="right"/>
    </xf>
    <xf numFmtId="164" fontId="15" fillId="0" borderId="8" xfId="0" applyFont="1" applyFill="1" applyBorder="1" applyAlignment="1">
      <alignment horizontal="center"/>
    </xf>
    <xf numFmtId="166" fontId="15" fillId="0" borderId="8" xfId="0" applyNumberFormat="1" applyFont="1" applyFill="1" applyBorder="1" applyAlignment="1">
      <alignment horizontal="center"/>
    </xf>
    <xf numFmtId="164" fontId="15" fillId="0" borderId="8" xfId="0" applyFont="1" applyBorder="1" applyAlignment="1">
      <alignment horizontal="center"/>
    </xf>
    <xf numFmtId="166" fontId="15" fillId="0" borderId="8" xfId="0" applyNumberFormat="1" applyFont="1" applyBorder="1" applyAlignment="1">
      <alignment horizontal="center"/>
    </xf>
    <xf numFmtId="164" fontId="16" fillId="0" borderId="1" xfId="0" applyFont="1" applyBorder="1" applyAlignment="1">
      <alignment horizontal="center"/>
    </xf>
    <xf numFmtId="164" fontId="17" fillId="0" borderId="8" xfId="0" applyFont="1" applyFill="1" applyBorder="1" applyAlignment="1">
      <alignment horizontal="right"/>
    </xf>
    <xf numFmtId="164" fontId="17" fillId="0" borderId="8" xfId="0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center"/>
    </xf>
    <xf numFmtId="164" fontId="17" fillId="0" borderId="8" xfId="0" applyFont="1" applyBorder="1" applyAlignment="1">
      <alignment horizontal="center"/>
    </xf>
    <xf numFmtId="166" fontId="17" fillId="0" borderId="8" xfId="0" applyNumberFormat="1" applyFont="1" applyBorder="1" applyAlignment="1">
      <alignment horizontal="center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9" xfId="0" applyFont="1" applyFill="1" applyBorder="1" applyAlignment="1" applyProtection="1">
      <alignment horizontal="center"/>
      <protection hidden="1"/>
    </xf>
    <xf numFmtId="164" fontId="0" fillId="0" borderId="10" xfId="0" applyFont="1" applyFill="1" applyBorder="1" applyAlignment="1" applyProtection="1">
      <alignment horizontal="center"/>
      <protection hidden="1"/>
    </xf>
    <xf numFmtId="164" fontId="0" fillId="0" borderId="11" xfId="0" applyFont="1" applyBorder="1" applyAlignment="1" applyProtection="1">
      <alignment horizontal="center"/>
      <protection hidden="1"/>
    </xf>
    <xf numFmtId="164" fontId="0" fillId="0" borderId="12" xfId="0" applyFont="1" applyFill="1" applyBorder="1" applyAlignment="1" applyProtection="1">
      <alignment horizontal="center"/>
      <protection hidden="1"/>
    </xf>
    <xf numFmtId="164" fontId="0" fillId="0" borderId="9" xfId="0" applyFont="1" applyFill="1" applyBorder="1" applyAlignment="1" applyProtection="1">
      <alignment horizontal="center" vertical="center"/>
      <protection hidden="1"/>
    </xf>
    <xf numFmtId="164" fontId="0" fillId="2" borderId="6" xfId="0" applyFill="1" applyBorder="1" applyAlignment="1" applyProtection="1">
      <alignment horizontal="center"/>
      <protection hidden="1"/>
    </xf>
    <xf numFmtId="164" fontId="0" fillId="2" borderId="13" xfId="0" applyFill="1" applyBorder="1" applyAlignment="1" applyProtection="1">
      <alignment horizontal="center"/>
      <protection hidden="1"/>
    </xf>
    <xf numFmtId="164" fontId="0" fillId="2" borderId="14" xfId="0" applyFill="1" applyBorder="1" applyAlignment="1" applyProtection="1">
      <alignment horizontal="center"/>
      <protection hidden="1"/>
    </xf>
    <xf numFmtId="164" fontId="0" fillId="0" borderId="15" xfId="0" applyFill="1" applyBorder="1" applyAlignment="1" applyProtection="1">
      <alignment horizontal="center"/>
      <protection hidden="1"/>
    </xf>
    <xf numFmtId="164" fontId="0" fillId="0" borderId="16" xfId="0" applyFill="1" applyBorder="1" applyAlignment="1" applyProtection="1">
      <alignment horizontal="center"/>
      <protection hidden="1"/>
    </xf>
    <xf numFmtId="164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0" xfId="0" applyBorder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/>
      <protection hidden="1"/>
    </xf>
    <xf numFmtId="164" fontId="0" fillId="2" borderId="18" xfId="0" applyFill="1" applyBorder="1" applyAlignment="1" applyProtection="1">
      <alignment horizontal="center"/>
      <protection hidden="1"/>
    </xf>
    <xf numFmtId="164" fontId="0" fillId="2" borderId="0" xfId="0" applyFill="1" applyBorder="1" applyAlignment="1" applyProtection="1">
      <alignment horizontal="center"/>
      <protection hidden="1"/>
    </xf>
    <xf numFmtId="164" fontId="0" fillId="2" borderId="19" xfId="0" applyFill="1" applyBorder="1" applyAlignment="1" applyProtection="1">
      <alignment horizontal="center"/>
      <protection hidden="1"/>
    </xf>
    <xf numFmtId="164" fontId="0" fillId="0" borderId="18" xfId="0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2" borderId="20" xfId="0" applyFill="1" applyBorder="1" applyAlignment="1" applyProtection="1">
      <alignment horizontal="center"/>
      <protection hidden="1"/>
    </xf>
    <xf numFmtId="164" fontId="0" fillId="2" borderId="21" xfId="0" applyFill="1" applyBorder="1" applyAlignment="1" applyProtection="1">
      <alignment horizontal="center"/>
      <protection hidden="1"/>
    </xf>
    <xf numFmtId="164" fontId="0" fillId="2" borderId="22" xfId="0" applyFill="1" applyBorder="1" applyAlignment="1" applyProtection="1">
      <alignment horizontal="center"/>
      <protection hidden="1"/>
    </xf>
    <xf numFmtId="164" fontId="0" fillId="0" borderId="23" xfId="0" applyFill="1" applyBorder="1" applyAlignment="1" applyProtection="1">
      <alignment horizontal="center"/>
      <protection hidden="1"/>
    </xf>
    <xf numFmtId="164" fontId="0" fillId="0" borderId="24" xfId="0" applyFill="1" applyBorder="1" applyAlignment="1" applyProtection="1">
      <alignment horizontal="center"/>
      <protection hidden="1"/>
    </xf>
    <xf numFmtId="164" fontId="0" fillId="2" borderId="25" xfId="0" applyFill="1" applyBorder="1" applyAlignment="1" applyProtection="1">
      <alignment horizontal="center"/>
      <protection hidden="1"/>
    </xf>
    <xf numFmtId="164" fontId="0" fillId="0" borderId="15" xfId="0" applyFont="1" applyFill="1" applyBorder="1" applyAlignment="1" applyProtection="1">
      <alignment horizontal="center"/>
      <protection hidden="1"/>
    </xf>
    <xf numFmtId="164" fontId="0" fillId="0" borderId="16" xfId="0" applyFont="1" applyFill="1" applyBorder="1" applyAlignment="1" applyProtection="1">
      <alignment horizontal="center"/>
      <protection hidden="1"/>
    </xf>
    <xf numFmtId="164" fontId="0" fillId="0" borderId="18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0" fillId="0" borderId="23" xfId="0" applyFont="1" applyFill="1" applyBorder="1" applyAlignment="1" applyProtection="1">
      <alignment horizontal="center"/>
      <protection hidden="1"/>
    </xf>
    <xf numFmtId="164" fontId="0" fillId="0" borderId="24" xfId="0" applyFont="1" applyFill="1" applyBorder="1" applyAlignment="1" applyProtection="1">
      <alignment horizontal="center"/>
      <protection hidden="1"/>
    </xf>
    <xf numFmtId="164" fontId="0" fillId="0" borderId="26" xfId="0" applyFont="1" applyFill="1" applyBorder="1" applyAlignment="1" applyProtection="1">
      <alignment horizontal="center" vertical="center"/>
      <protection hidden="1"/>
    </xf>
    <xf numFmtId="164" fontId="0" fillId="0" borderId="17" xfId="0" applyFill="1" applyBorder="1" applyAlignment="1" applyProtection="1">
      <alignment horizontal="center" vertical="center"/>
      <protection hidden="1"/>
    </xf>
    <xf numFmtId="164" fontId="0" fillId="0" borderId="27" xfId="0" applyFill="1" applyBorder="1" applyAlignment="1" applyProtection="1">
      <alignment horizontal="center"/>
      <protection hidden="1"/>
    </xf>
    <xf numFmtId="164" fontId="0" fillId="0" borderId="10" xfId="0" applyFont="1" applyFill="1" applyBorder="1" applyAlignment="1" applyProtection="1">
      <alignment horizontal="center" vertical="center"/>
      <protection hidden="1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0" xfId="0" applyFont="1" applyAlignment="1">
      <alignment horizontal="left"/>
    </xf>
    <xf numFmtId="164" fontId="21" fillId="0" borderId="0" xfId="0" applyFont="1" applyAlignment="1">
      <alignment horizontal="center"/>
    </xf>
    <xf numFmtId="164" fontId="20" fillId="0" borderId="0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22" fillId="0" borderId="28" xfId="0" applyFont="1" applyBorder="1" applyAlignment="1">
      <alignment horizontal="center" vertical="center"/>
    </xf>
    <xf numFmtId="164" fontId="22" fillId="0" borderId="29" xfId="0" applyFont="1" applyBorder="1" applyAlignment="1">
      <alignment horizontal="center" vertical="center"/>
    </xf>
    <xf numFmtId="164" fontId="20" fillId="0" borderId="0" xfId="0" applyFont="1" applyAlignment="1">
      <alignment wrapText="1"/>
    </xf>
    <xf numFmtId="164" fontId="23" fillId="0" borderId="1" xfId="0" applyFont="1" applyFill="1" applyBorder="1" applyAlignment="1">
      <alignment horizontal="center"/>
    </xf>
    <xf numFmtId="164" fontId="24" fillId="0" borderId="1" xfId="0" applyFont="1" applyFill="1" applyBorder="1" applyAlignment="1">
      <alignment horizontal="center"/>
    </xf>
    <xf numFmtId="164" fontId="25" fillId="0" borderId="1" xfId="0" applyFont="1" applyFill="1" applyBorder="1" applyAlignment="1">
      <alignment horizontal="center"/>
    </xf>
    <xf numFmtId="164" fontId="27" fillId="0" borderId="0" xfId="0" applyFont="1" applyFill="1" applyBorder="1" applyAlignment="1" applyProtection="1">
      <alignment horizontal="center"/>
      <protection hidden="1"/>
    </xf>
    <xf numFmtId="164" fontId="27" fillId="0" borderId="0" xfId="0" applyFont="1" applyFill="1" applyBorder="1" applyAlignment="1" applyProtection="1">
      <alignment/>
      <protection hidden="1"/>
    </xf>
    <xf numFmtId="164" fontId="27" fillId="0" borderId="0" xfId="0" applyFont="1" applyAlignment="1">
      <alignment/>
    </xf>
    <xf numFmtId="164" fontId="27" fillId="0" borderId="6" xfId="0" applyFont="1" applyFill="1" applyBorder="1" applyAlignment="1" applyProtection="1">
      <alignment horizontal="center"/>
      <protection hidden="1"/>
    </xf>
    <xf numFmtId="164" fontId="27" fillId="0" borderId="13" xfId="0" applyFont="1" applyFill="1" applyBorder="1" applyAlignment="1" applyProtection="1">
      <alignment horizontal="center"/>
      <protection hidden="1"/>
    </xf>
    <xf numFmtId="164" fontId="27" fillId="0" borderId="13" xfId="0" applyFont="1" applyFill="1" applyBorder="1" applyAlignment="1" applyProtection="1">
      <alignment/>
      <protection hidden="1"/>
    </xf>
    <xf numFmtId="164" fontId="27" fillId="0" borderId="14" xfId="0" applyFont="1" applyFill="1" applyBorder="1" applyAlignment="1" applyProtection="1">
      <alignment/>
      <protection hidden="1"/>
    </xf>
    <xf numFmtId="164" fontId="28" fillId="0" borderId="18" xfId="0" applyFont="1" applyFill="1" applyBorder="1" applyAlignment="1" applyProtection="1">
      <alignment horizontal="center"/>
      <protection hidden="1"/>
    </xf>
    <xf numFmtId="164" fontId="28" fillId="0" borderId="0" xfId="0" applyFont="1" applyFill="1" applyBorder="1" applyAlignment="1" applyProtection="1">
      <alignment horizontal="center"/>
      <protection hidden="1"/>
    </xf>
    <xf numFmtId="164" fontId="28" fillId="0" borderId="30" xfId="0" applyFont="1" applyFill="1" applyBorder="1" applyAlignment="1" applyProtection="1">
      <alignment horizontal="center"/>
      <protection hidden="1"/>
    </xf>
    <xf numFmtId="164" fontId="28" fillId="0" borderId="13" xfId="0" applyFont="1" applyFill="1" applyBorder="1" applyAlignment="1" applyProtection="1">
      <alignment horizontal="center" vertical="center"/>
      <protection hidden="1"/>
    </xf>
    <xf numFmtId="164" fontId="28" fillId="0" borderId="30" xfId="0" applyFont="1" applyFill="1" applyBorder="1" applyAlignment="1" applyProtection="1">
      <alignment horizontal="center" vertical="center"/>
      <protection hidden="1"/>
    </xf>
    <xf numFmtId="164" fontId="28" fillId="0" borderId="16" xfId="0" applyFont="1" applyFill="1" applyBorder="1" applyAlignment="1" applyProtection="1">
      <alignment horizontal="center" vertical="center"/>
      <protection hidden="1"/>
    </xf>
    <xf numFmtId="164" fontId="28" fillId="0" borderId="30" xfId="0" applyFont="1" applyFill="1" applyBorder="1" applyAlignment="1" applyProtection="1">
      <alignment horizontal="center" vertical="center" wrapText="1"/>
      <protection hidden="1"/>
    </xf>
    <xf numFmtId="164" fontId="28" fillId="0" borderId="28" xfId="0" applyFont="1" applyFill="1" applyBorder="1" applyAlignment="1" applyProtection="1">
      <alignment horizontal="center" vertical="center"/>
      <protection hidden="1"/>
    </xf>
    <xf numFmtId="164" fontId="28" fillId="0" borderId="29" xfId="0" applyFont="1" applyFill="1" applyBorder="1" applyAlignment="1" applyProtection="1">
      <alignment horizontal="center" vertical="center"/>
      <protection hidden="1"/>
    </xf>
    <xf numFmtId="164" fontId="28" fillId="0" borderId="3" xfId="0" applyFont="1" applyFill="1" applyBorder="1" applyAlignment="1" applyProtection="1">
      <alignment horizontal="center" vertical="center"/>
      <protection hidden="1"/>
    </xf>
    <xf numFmtId="164" fontId="28" fillId="0" borderId="31" xfId="0" applyFont="1" applyFill="1" applyBorder="1" applyAlignment="1" applyProtection="1">
      <alignment horizontal="center" vertical="center" wrapText="1"/>
      <protection hidden="1"/>
    </xf>
    <xf numFmtId="164" fontId="28" fillId="0" borderId="32" xfId="0" applyFont="1" applyFill="1" applyBorder="1" applyAlignment="1" applyProtection="1">
      <alignment horizontal="center"/>
      <protection hidden="1"/>
    </xf>
    <xf numFmtId="164" fontId="28" fillId="0" borderId="33" xfId="0" applyFont="1" applyFill="1" applyBorder="1" applyAlignment="1" applyProtection="1">
      <alignment horizontal="center"/>
      <protection hidden="1"/>
    </xf>
    <xf numFmtId="164" fontId="28" fillId="0" borderId="34" xfId="0" applyFont="1" applyFill="1" applyBorder="1" applyAlignment="1" applyProtection="1">
      <alignment/>
      <protection hidden="1"/>
    </xf>
    <xf numFmtId="164" fontId="28" fillId="0" borderId="35" xfId="0" applyFont="1" applyFill="1" applyBorder="1" applyAlignment="1" applyProtection="1">
      <alignment/>
      <protection hidden="1"/>
    </xf>
    <xf numFmtId="164" fontId="28" fillId="0" borderId="25" xfId="0" applyFont="1" applyFill="1" applyBorder="1" applyAlignment="1" applyProtection="1">
      <alignment horizontal="center" vertical="center"/>
      <protection hidden="1"/>
    </xf>
    <xf numFmtId="164" fontId="27" fillId="3" borderId="36" xfId="0" applyFont="1" applyFill="1" applyBorder="1" applyAlignment="1">
      <alignment/>
    </xf>
    <xf numFmtId="164" fontId="27" fillId="3" borderId="37" xfId="0" applyFont="1" applyFill="1" applyBorder="1" applyAlignment="1">
      <alignment/>
    </xf>
    <xf numFmtId="164" fontId="27" fillId="3" borderId="15" xfId="0" applyFont="1" applyFill="1" applyBorder="1" applyAlignment="1">
      <alignment horizontal="center"/>
    </xf>
    <xf numFmtId="164" fontId="27" fillId="3" borderId="38" xfId="0" applyFont="1" applyFill="1" applyBorder="1" applyAlignment="1">
      <alignment horizontal="center"/>
    </xf>
    <xf numFmtId="164" fontId="27" fillId="2" borderId="13" xfId="0" applyFont="1" applyFill="1" applyBorder="1" applyAlignment="1" applyProtection="1">
      <alignment horizontal="center"/>
      <protection hidden="1"/>
    </xf>
    <xf numFmtId="164" fontId="27" fillId="2" borderId="14" xfId="0" applyFont="1" applyFill="1" applyBorder="1" applyAlignment="1" applyProtection="1">
      <alignment horizontal="center"/>
      <protection hidden="1"/>
    </xf>
    <xf numFmtId="164" fontId="29" fillId="3" borderId="39" xfId="0" applyFont="1" applyFill="1" applyBorder="1" applyAlignment="1" applyProtection="1">
      <alignment horizontal="center" vertical="center"/>
      <protection hidden="1"/>
    </xf>
    <xf numFmtId="164" fontId="29" fillId="3" borderId="40" xfId="0" applyFont="1" applyFill="1" applyBorder="1" applyAlignment="1" applyProtection="1">
      <alignment horizontal="center" vertical="center"/>
      <protection hidden="1"/>
    </xf>
    <xf numFmtId="164" fontId="29" fillId="3" borderId="37" xfId="0" applyFont="1" applyFill="1" applyBorder="1" applyAlignment="1" applyProtection="1">
      <alignment horizontal="center" vertical="center"/>
      <protection hidden="1"/>
    </xf>
    <xf numFmtId="164" fontId="27" fillId="0" borderId="36" xfId="0" applyFont="1" applyFill="1" applyBorder="1" applyAlignment="1" applyProtection="1">
      <alignment horizontal="center" vertical="center"/>
      <protection hidden="1"/>
    </xf>
    <xf numFmtId="164" fontId="27" fillId="0" borderId="40" xfId="0" applyFont="1" applyFill="1" applyBorder="1" applyAlignment="1" applyProtection="1">
      <alignment horizontal="center" vertical="center"/>
      <protection hidden="1"/>
    </xf>
    <xf numFmtId="164" fontId="27" fillId="0" borderId="41" xfId="0" applyFont="1" applyFill="1" applyBorder="1" applyAlignment="1" applyProtection="1">
      <alignment horizontal="center" vertical="center"/>
      <protection hidden="1"/>
    </xf>
    <xf numFmtId="164" fontId="29" fillId="3" borderId="36" xfId="0" applyFont="1" applyFill="1" applyBorder="1" applyAlignment="1" applyProtection="1">
      <alignment horizontal="center" vertical="center"/>
      <protection hidden="1"/>
    </xf>
    <xf numFmtId="164" fontId="29" fillId="3" borderId="41" xfId="0" applyFont="1" applyFill="1" applyBorder="1" applyAlignment="1" applyProtection="1">
      <alignment horizontal="center" vertical="center"/>
      <protection hidden="1"/>
    </xf>
    <xf numFmtId="164" fontId="27" fillId="0" borderId="5" xfId="0" applyFont="1" applyFill="1" applyBorder="1" applyAlignment="1" applyProtection="1">
      <alignment horizontal="center" vertical="center"/>
      <protection hidden="1"/>
    </xf>
    <xf numFmtId="164" fontId="27" fillId="0" borderId="5" xfId="0" applyFont="1" applyFill="1" applyBorder="1" applyAlignment="1" applyProtection="1">
      <alignment horizontal="center"/>
      <protection hidden="1"/>
    </xf>
    <xf numFmtId="166" fontId="27" fillId="0" borderId="42" xfId="0" applyNumberFormat="1" applyFont="1" applyFill="1" applyBorder="1" applyAlignment="1" applyProtection="1">
      <alignment horizontal="center" vertical="center"/>
      <protection hidden="1"/>
    </xf>
    <xf numFmtId="166" fontId="27" fillId="0" borderId="4" xfId="0" applyNumberFormat="1" applyFont="1" applyFill="1" applyBorder="1" applyAlignment="1" applyProtection="1">
      <alignment horizontal="center"/>
      <protection hidden="1"/>
    </xf>
    <xf numFmtId="164" fontId="29" fillId="0" borderId="0" xfId="0" applyFont="1" applyFill="1" applyBorder="1" applyAlignment="1" applyProtection="1">
      <alignment horizontal="center"/>
      <protection hidden="1"/>
    </xf>
    <xf numFmtId="164" fontId="27" fillId="3" borderId="0" xfId="0" applyFont="1" applyFill="1" applyBorder="1" applyAlignment="1" applyProtection="1">
      <alignment horizontal="center" vertical="center"/>
      <protection hidden="1"/>
    </xf>
    <xf numFmtId="164" fontId="27" fillId="3" borderId="17" xfId="0" applyFont="1" applyFill="1" applyBorder="1" applyAlignment="1">
      <alignment/>
    </xf>
    <xf numFmtId="164" fontId="27" fillId="3" borderId="43" xfId="0" applyFont="1" applyFill="1" applyBorder="1" applyAlignment="1">
      <alignment/>
    </xf>
    <xf numFmtId="164" fontId="27" fillId="3" borderId="44" xfId="0" applyFont="1" applyFill="1" applyBorder="1" applyAlignment="1">
      <alignment horizontal="center"/>
    </xf>
    <xf numFmtId="164" fontId="27" fillId="2" borderId="0" xfId="0" applyFont="1" applyFill="1" applyBorder="1" applyAlignment="1" applyProtection="1">
      <alignment horizontal="center"/>
      <protection hidden="1"/>
    </xf>
    <xf numFmtId="164" fontId="27" fillId="2" borderId="19" xfId="0" applyFont="1" applyFill="1" applyBorder="1" applyAlignment="1" applyProtection="1">
      <alignment horizontal="center"/>
      <protection hidden="1"/>
    </xf>
    <xf numFmtId="164" fontId="29" fillId="3" borderId="45" xfId="0" applyFont="1" applyFill="1" applyBorder="1" applyAlignment="1" applyProtection="1">
      <alignment horizontal="center" vertical="center"/>
      <protection hidden="1"/>
    </xf>
    <xf numFmtId="164" fontId="29" fillId="3" borderId="46" xfId="0" applyFont="1" applyFill="1" applyBorder="1" applyAlignment="1" applyProtection="1">
      <alignment horizontal="center" vertical="center"/>
      <protection hidden="1"/>
    </xf>
    <xf numFmtId="164" fontId="29" fillId="3" borderId="43" xfId="0" applyFont="1" applyFill="1" applyBorder="1" applyAlignment="1" applyProtection="1">
      <alignment horizontal="center" vertical="center"/>
      <protection hidden="1"/>
    </xf>
    <xf numFmtId="164" fontId="27" fillId="0" borderId="47" xfId="0" applyFont="1" applyFill="1" applyBorder="1" applyAlignment="1" applyProtection="1">
      <alignment horizontal="center" vertical="center"/>
      <protection hidden="1"/>
    </xf>
    <xf numFmtId="164" fontId="27" fillId="0" borderId="46" xfId="0" applyFont="1" applyFill="1" applyBorder="1" applyAlignment="1" applyProtection="1">
      <alignment horizontal="center" vertical="center"/>
      <protection hidden="1"/>
    </xf>
    <xf numFmtId="164" fontId="27" fillId="0" borderId="48" xfId="0" applyFont="1" applyFill="1" applyBorder="1" applyAlignment="1" applyProtection="1">
      <alignment horizontal="center" vertical="center"/>
      <protection hidden="1"/>
    </xf>
    <xf numFmtId="164" fontId="29" fillId="3" borderId="47" xfId="0" applyFont="1" applyFill="1" applyBorder="1" applyAlignment="1" applyProtection="1">
      <alignment horizontal="center" vertical="center"/>
      <protection hidden="1"/>
    </xf>
    <xf numFmtId="164" fontId="29" fillId="3" borderId="48" xfId="0" applyFont="1" applyFill="1" applyBorder="1" applyAlignment="1" applyProtection="1">
      <alignment horizontal="center" vertical="center"/>
      <protection hidden="1"/>
    </xf>
    <xf numFmtId="164" fontId="27" fillId="3" borderId="9" xfId="0" applyFont="1" applyFill="1" applyBorder="1" applyAlignment="1">
      <alignment/>
    </xf>
    <xf numFmtId="164" fontId="30" fillId="3" borderId="49" xfId="0" applyFont="1" applyFill="1" applyBorder="1" applyAlignment="1">
      <alignment horizontal="center"/>
    </xf>
    <xf numFmtId="164" fontId="29" fillId="3" borderId="50" xfId="0" applyFont="1" applyFill="1" applyBorder="1" applyAlignment="1" applyProtection="1">
      <alignment horizontal="center" vertical="center"/>
      <protection hidden="1"/>
    </xf>
    <xf numFmtId="164" fontId="29" fillId="3" borderId="10" xfId="0" applyFont="1" applyFill="1" applyBorder="1" applyAlignment="1" applyProtection="1">
      <alignment horizontal="center" vertical="center"/>
      <protection hidden="1"/>
    </xf>
    <xf numFmtId="164" fontId="29" fillId="3" borderId="9" xfId="0" applyFont="1" applyFill="1" applyBorder="1" applyAlignment="1" applyProtection="1">
      <alignment horizontal="center" vertical="center"/>
      <protection hidden="1"/>
    </xf>
    <xf numFmtId="164" fontId="27" fillId="0" borderId="17" xfId="0" applyFont="1" applyFill="1" applyBorder="1" applyAlignment="1" applyProtection="1">
      <alignment horizontal="center" vertical="center"/>
      <protection hidden="1"/>
    </xf>
    <xf numFmtId="164" fontId="27" fillId="0" borderId="10" xfId="0" applyFont="1" applyFill="1" applyBorder="1" applyAlignment="1" applyProtection="1">
      <alignment horizontal="center" vertical="center"/>
      <protection hidden="1"/>
    </xf>
    <xf numFmtId="164" fontId="27" fillId="0" borderId="26" xfId="0" applyFont="1" applyFill="1" applyBorder="1" applyAlignment="1" applyProtection="1">
      <alignment horizontal="center" vertical="center"/>
      <protection hidden="1"/>
    </xf>
    <xf numFmtId="164" fontId="27" fillId="3" borderId="50" xfId="0" applyFont="1" applyFill="1" applyBorder="1" applyAlignment="1" applyProtection="1">
      <alignment horizontal="center" vertical="center"/>
      <protection hidden="1"/>
    </xf>
    <xf numFmtId="164" fontId="27" fillId="3" borderId="10" xfId="0" applyFont="1" applyFill="1" applyBorder="1" applyAlignment="1" applyProtection="1">
      <alignment horizontal="center" vertical="center"/>
      <protection hidden="1"/>
    </xf>
    <xf numFmtId="164" fontId="27" fillId="3" borderId="9" xfId="0" applyFont="1" applyFill="1" applyBorder="1" applyAlignment="1" applyProtection="1">
      <alignment horizontal="center" vertical="center"/>
      <protection hidden="1"/>
    </xf>
    <xf numFmtId="164" fontId="27" fillId="3" borderId="17" xfId="0" applyFont="1" applyFill="1" applyBorder="1" applyAlignment="1" applyProtection="1">
      <alignment horizontal="center" vertical="center"/>
      <protection hidden="1"/>
    </xf>
    <xf numFmtId="164" fontId="27" fillId="3" borderId="10" xfId="0" applyFont="1" applyFill="1" applyBorder="1" applyAlignment="1" applyProtection="1">
      <alignment horizontal="center" vertical="center"/>
      <protection hidden="1"/>
    </xf>
    <xf numFmtId="164" fontId="27" fillId="3" borderId="26" xfId="0" applyFont="1" applyFill="1" applyBorder="1" applyAlignment="1" applyProtection="1">
      <alignment horizontal="center" vertical="center"/>
      <protection hidden="1"/>
    </xf>
    <xf numFmtId="164" fontId="29" fillId="3" borderId="17" xfId="0" applyFont="1" applyFill="1" applyBorder="1" applyAlignment="1" applyProtection="1">
      <alignment horizontal="center" vertical="center"/>
      <protection hidden="1"/>
    </xf>
    <xf numFmtId="164" fontId="29" fillId="3" borderId="26" xfId="0" applyFont="1" applyFill="1" applyBorder="1" applyAlignment="1" applyProtection="1">
      <alignment horizontal="center" vertical="center"/>
      <protection hidden="1"/>
    </xf>
    <xf numFmtId="164" fontId="27" fillId="3" borderId="33" xfId="0" applyFont="1" applyFill="1" applyBorder="1" applyAlignment="1">
      <alignment/>
    </xf>
    <xf numFmtId="164" fontId="30" fillId="3" borderId="32" xfId="0" applyFont="1" applyFill="1" applyBorder="1" applyAlignment="1">
      <alignment horizontal="center"/>
    </xf>
    <xf numFmtId="164" fontId="27" fillId="3" borderId="51" xfId="0" applyFont="1" applyFill="1" applyBorder="1" applyAlignment="1" applyProtection="1">
      <alignment horizontal="center"/>
      <protection hidden="1"/>
    </xf>
    <xf numFmtId="164" fontId="27" fillId="3" borderId="11" xfId="0" applyFont="1" applyFill="1" applyBorder="1" applyAlignment="1" applyProtection="1">
      <alignment horizontal="center"/>
      <protection hidden="1"/>
    </xf>
    <xf numFmtId="164" fontId="27" fillId="3" borderId="33" xfId="0" applyFont="1" applyFill="1" applyBorder="1" applyAlignment="1" applyProtection="1">
      <alignment horizontal="center"/>
      <protection hidden="1"/>
    </xf>
    <xf numFmtId="164" fontId="27" fillId="0" borderId="34" xfId="0" applyFont="1" applyFill="1" applyBorder="1" applyAlignment="1" applyProtection="1">
      <alignment horizontal="center"/>
      <protection hidden="1"/>
    </xf>
    <xf numFmtId="164" fontId="27" fillId="0" borderId="11" xfId="0" applyFont="1" applyFill="1" applyBorder="1" applyAlignment="1" applyProtection="1">
      <alignment horizontal="center"/>
      <protection hidden="1"/>
    </xf>
    <xf numFmtId="164" fontId="27" fillId="0" borderId="52" xfId="0" applyFont="1" applyFill="1" applyBorder="1" applyAlignment="1" applyProtection="1">
      <alignment horizontal="center"/>
      <protection hidden="1"/>
    </xf>
    <xf numFmtId="164" fontId="27" fillId="3" borderId="51" xfId="0" applyFont="1" applyFill="1" applyBorder="1" applyAlignment="1" applyProtection="1">
      <alignment horizontal="center"/>
      <protection hidden="1"/>
    </xf>
    <xf numFmtId="164" fontId="27" fillId="3" borderId="11" xfId="0" applyFont="1" applyFill="1" applyBorder="1" applyAlignment="1" applyProtection="1">
      <alignment horizontal="center"/>
      <protection hidden="1"/>
    </xf>
    <xf numFmtId="164" fontId="27" fillId="3" borderId="33" xfId="0" applyFont="1" applyFill="1" applyBorder="1" applyAlignment="1" applyProtection="1">
      <alignment horizontal="center"/>
      <protection hidden="1"/>
    </xf>
    <xf numFmtId="164" fontId="27" fillId="3" borderId="34" xfId="0" applyFont="1" applyFill="1" applyBorder="1" applyAlignment="1" applyProtection="1">
      <alignment horizontal="center"/>
      <protection hidden="1"/>
    </xf>
    <xf numFmtId="164" fontId="27" fillId="3" borderId="52" xfId="0" applyFont="1" applyFill="1" applyBorder="1" applyAlignment="1" applyProtection="1">
      <alignment horizontal="center"/>
      <protection hidden="1"/>
    </xf>
    <xf numFmtId="164" fontId="27" fillId="0" borderId="34" xfId="0" applyFont="1" applyFill="1" applyBorder="1" applyAlignment="1" applyProtection="1">
      <alignment horizontal="center"/>
      <protection hidden="1"/>
    </xf>
    <xf numFmtId="164" fontId="27" fillId="0" borderId="11" xfId="0" applyFont="1" applyFill="1" applyBorder="1" applyAlignment="1" applyProtection="1">
      <alignment horizontal="center"/>
      <protection hidden="1"/>
    </xf>
    <xf numFmtId="164" fontId="27" fillId="0" borderId="52" xfId="0" applyFont="1" applyFill="1" applyBorder="1" applyAlignment="1" applyProtection="1">
      <alignment horizontal="center"/>
      <protection hidden="1"/>
    </xf>
    <xf numFmtId="164" fontId="27" fillId="3" borderId="37" xfId="0" applyFont="1" applyFill="1" applyBorder="1" applyAlignment="1">
      <alignment/>
    </xf>
    <xf numFmtId="164" fontId="30" fillId="3" borderId="15" xfId="0" applyFont="1" applyFill="1" applyBorder="1" applyAlignment="1">
      <alignment horizontal="center"/>
    </xf>
    <xf numFmtId="164" fontId="27" fillId="3" borderId="39" xfId="0" applyFont="1" applyFill="1" applyBorder="1" applyAlignment="1">
      <alignment horizontal="center"/>
    </xf>
    <xf numFmtId="164" fontId="27" fillId="3" borderId="40" xfId="0" applyFont="1" applyFill="1" applyBorder="1" applyAlignment="1">
      <alignment horizontal="center"/>
    </xf>
    <xf numFmtId="164" fontId="27" fillId="3" borderId="37" xfId="0" applyFont="1" applyFill="1" applyBorder="1" applyAlignment="1">
      <alignment horizontal="center"/>
    </xf>
    <xf numFmtId="164" fontId="27" fillId="2" borderId="6" xfId="0" applyFont="1" applyFill="1" applyBorder="1" applyAlignment="1" applyProtection="1">
      <alignment horizontal="center"/>
      <protection hidden="1"/>
    </xf>
    <xf numFmtId="164" fontId="27" fillId="3" borderId="36" xfId="0" applyFont="1" applyFill="1" applyBorder="1" applyAlignment="1" applyProtection="1">
      <alignment horizontal="center"/>
      <protection hidden="1"/>
    </xf>
    <xf numFmtId="164" fontId="27" fillId="3" borderId="40" xfId="0" applyFont="1" applyFill="1" applyBorder="1" applyAlignment="1" applyProtection="1">
      <alignment horizontal="center"/>
      <protection hidden="1"/>
    </xf>
    <xf numFmtId="164" fontId="27" fillId="3" borderId="41" xfId="0" applyFont="1" applyFill="1" applyBorder="1" applyAlignment="1" applyProtection="1">
      <alignment horizontal="center"/>
      <protection hidden="1"/>
    </xf>
    <xf numFmtId="164" fontId="27" fillId="3" borderId="39" xfId="0" applyFont="1" applyFill="1" applyBorder="1" applyAlignment="1" applyProtection="1">
      <alignment horizontal="center"/>
      <protection hidden="1"/>
    </xf>
    <xf numFmtId="164" fontId="27" fillId="3" borderId="37" xfId="0" applyFont="1" applyFill="1" applyBorder="1" applyAlignment="1" applyProtection="1">
      <alignment horizontal="center"/>
      <protection hidden="1"/>
    </xf>
    <xf numFmtId="166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3" borderId="43" xfId="0" applyFont="1" applyFill="1" applyBorder="1" applyAlignment="1">
      <alignment/>
    </xf>
    <xf numFmtId="164" fontId="30" fillId="3" borderId="44" xfId="0" applyFont="1" applyFill="1" applyBorder="1" applyAlignment="1">
      <alignment horizontal="center"/>
    </xf>
    <xf numFmtId="164" fontId="27" fillId="3" borderId="45" xfId="0" applyFont="1" applyFill="1" applyBorder="1" applyAlignment="1">
      <alignment horizontal="center"/>
    </xf>
    <xf numFmtId="164" fontId="27" fillId="3" borderId="46" xfId="0" applyFont="1" applyFill="1" applyBorder="1" applyAlignment="1">
      <alignment horizontal="center"/>
    </xf>
    <xf numFmtId="164" fontId="27" fillId="3" borderId="43" xfId="0" applyFont="1" applyFill="1" applyBorder="1" applyAlignment="1">
      <alignment horizontal="center"/>
    </xf>
    <xf numFmtId="164" fontId="27" fillId="2" borderId="18" xfId="0" applyFont="1" applyFill="1" applyBorder="1" applyAlignment="1" applyProtection="1">
      <alignment horizontal="center"/>
      <protection hidden="1"/>
    </xf>
    <xf numFmtId="164" fontId="27" fillId="3" borderId="47" xfId="0" applyFont="1" applyFill="1" applyBorder="1" applyAlignment="1" applyProtection="1">
      <alignment horizontal="center"/>
      <protection hidden="1"/>
    </xf>
    <xf numFmtId="164" fontId="27" fillId="3" borderId="46" xfId="0" applyFont="1" applyFill="1" applyBorder="1" applyAlignment="1" applyProtection="1">
      <alignment horizontal="center"/>
      <protection hidden="1"/>
    </xf>
    <xf numFmtId="164" fontId="27" fillId="3" borderId="48" xfId="0" applyFont="1" applyFill="1" applyBorder="1" applyAlignment="1" applyProtection="1">
      <alignment horizontal="center"/>
      <protection hidden="1"/>
    </xf>
    <xf numFmtId="164" fontId="27" fillId="3" borderId="45" xfId="0" applyFont="1" applyFill="1" applyBorder="1" applyAlignment="1" applyProtection="1">
      <alignment horizontal="center"/>
      <protection hidden="1"/>
    </xf>
    <xf numFmtId="164" fontId="27" fillId="3" borderId="43" xfId="0" applyFont="1" applyFill="1" applyBorder="1" applyAlignment="1" applyProtection="1">
      <alignment horizontal="center"/>
      <protection hidden="1"/>
    </xf>
    <xf numFmtId="164" fontId="27" fillId="3" borderId="49" xfId="0" applyFont="1" applyFill="1" applyBorder="1" applyAlignment="1">
      <alignment horizontal="center"/>
    </xf>
    <xf numFmtId="164" fontId="27" fillId="3" borderId="50" xfId="0" applyFont="1" applyFill="1" applyBorder="1" applyAlignment="1">
      <alignment horizontal="center"/>
    </xf>
    <xf numFmtId="164" fontId="27" fillId="3" borderId="10" xfId="0" applyFont="1" applyFill="1" applyBorder="1" applyAlignment="1">
      <alignment horizontal="center"/>
    </xf>
    <xf numFmtId="164" fontId="27" fillId="3" borderId="9" xfId="0" applyFont="1" applyFill="1" applyBorder="1" applyAlignment="1">
      <alignment horizontal="center"/>
    </xf>
    <xf numFmtId="164" fontId="27" fillId="3" borderId="17" xfId="0" applyFont="1" applyFill="1" applyBorder="1" applyAlignment="1" applyProtection="1">
      <alignment horizontal="center"/>
      <protection hidden="1"/>
    </xf>
    <xf numFmtId="164" fontId="27" fillId="3" borderId="10" xfId="0" applyFont="1" applyFill="1" applyBorder="1" applyAlignment="1" applyProtection="1">
      <alignment horizontal="center"/>
      <protection hidden="1"/>
    </xf>
    <xf numFmtId="164" fontId="27" fillId="3" borderId="26" xfId="0" applyFont="1" applyFill="1" applyBorder="1" applyAlignment="1" applyProtection="1">
      <alignment horizontal="center"/>
      <protection hidden="1"/>
    </xf>
    <xf numFmtId="164" fontId="27" fillId="3" borderId="50" xfId="0" applyFont="1" applyFill="1" applyBorder="1" applyAlignment="1" applyProtection="1">
      <alignment horizontal="center"/>
      <protection hidden="1"/>
    </xf>
    <xf numFmtId="164" fontId="27" fillId="3" borderId="9" xfId="0" applyFont="1" applyFill="1" applyBorder="1" applyAlignment="1" applyProtection="1">
      <alignment horizontal="center"/>
      <protection hidden="1"/>
    </xf>
    <xf numFmtId="164" fontId="27" fillId="3" borderId="34" xfId="0" applyFont="1" applyFill="1" applyBorder="1" applyAlignment="1">
      <alignment/>
    </xf>
    <xf numFmtId="164" fontId="27" fillId="3" borderId="33" xfId="0" applyFont="1" applyFill="1" applyBorder="1" applyAlignment="1">
      <alignment/>
    </xf>
    <xf numFmtId="164" fontId="27" fillId="3" borderId="32" xfId="0" applyFont="1" applyFill="1" applyBorder="1" applyAlignment="1">
      <alignment horizontal="center"/>
    </xf>
    <xf numFmtId="164" fontId="27" fillId="3" borderId="51" xfId="0" applyFont="1" applyFill="1" applyBorder="1" applyAlignment="1">
      <alignment horizontal="center"/>
    </xf>
    <xf numFmtId="164" fontId="27" fillId="3" borderId="11" xfId="0" applyFont="1" applyFill="1" applyBorder="1" applyAlignment="1">
      <alignment horizontal="center"/>
    </xf>
    <xf numFmtId="164" fontId="27" fillId="3" borderId="33" xfId="0" applyFont="1" applyFill="1" applyBorder="1" applyAlignment="1">
      <alignment horizontal="center"/>
    </xf>
    <xf numFmtId="164" fontId="27" fillId="3" borderId="23" xfId="0" applyFont="1" applyFill="1" applyBorder="1" applyAlignment="1" applyProtection="1">
      <alignment horizontal="center"/>
      <protection hidden="1"/>
    </xf>
    <xf numFmtId="164" fontId="27" fillId="3" borderId="9" xfId="0" applyFont="1" applyFill="1" applyBorder="1" applyAlignment="1">
      <alignment/>
    </xf>
    <xf numFmtId="164" fontId="27" fillId="3" borderId="23" xfId="0" applyFont="1" applyFill="1" applyBorder="1" applyAlignment="1">
      <alignment/>
    </xf>
    <xf numFmtId="164" fontId="27" fillId="3" borderId="27" xfId="0" applyFont="1" applyFill="1" applyBorder="1" applyAlignment="1">
      <alignment/>
    </xf>
    <xf numFmtId="164" fontId="27" fillId="3" borderId="53" xfId="0" applyFont="1" applyFill="1" applyBorder="1" applyAlignment="1">
      <alignment horizontal="center"/>
    </xf>
    <xf numFmtId="164" fontId="27" fillId="3" borderId="54" xfId="0" applyFont="1" applyFill="1" applyBorder="1" applyAlignment="1" applyProtection="1">
      <alignment horizontal="center"/>
      <protection hidden="1"/>
    </xf>
    <xf numFmtId="164" fontId="27" fillId="3" borderId="24" xfId="0" applyFont="1" applyFill="1" applyBorder="1" applyAlignment="1" applyProtection="1">
      <alignment horizontal="center"/>
      <protection hidden="1"/>
    </xf>
    <xf numFmtId="164" fontId="27" fillId="3" borderId="27" xfId="0" applyFont="1" applyFill="1" applyBorder="1" applyAlignment="1" applyProtection="1">
      <alignment horizontal="center"/>
      <protection hidden="1"/>
    </xf>
    <xf numFmtId="164" fontId="27" fillId="3" borderId="55" xfId="0" applyFont="1" applyFill="1" applyBorder="1" applyAlignment="1" applyProtection="1">
      <alignment horizontal="center"/>
      <protection hidden="1"/>
    </xf>
    <xf numFmtId="164" fontId="27" fillId="2" borderId="20" xfId="0" applyFont="1" applyFill="1" applyBorder="1" applyAlignment="1" applyProtection="1">
      <alignment horizontal="center"/>
      <protection hidden="1"/>
    </xf>
    <xf numFmtId="164" fontId="27" fillId="2" borderId="21" xfId="0" applyFont="1" applyFill="1" applyBorder="1" applyAlignment="1" applyProtection="1">
      <alignment horizontal="center"/>
      <protection hidden="1"/>
    </xf>
    <xf numFmtId="164" fontId="27" fillId="2" borderId="22" xfId="0" applyFont="1" applyFill="1" applyBorder="1" applyAlignment="1" applyProtection="1">
      <alignment horizontal="center"/>
      <protection hidden="1"/>
    </xf>
    <xf numFmtId="164" fontId="27" fillId="3" borderId="47" xfId="0" applyFont="1" applyFill="1" applyBorder="1" applyAlignment="1">
      <alignment/>
    </xf>
    <xf numFmtId="164" fontId="27" fillId="3" borderId="47" xfId="0" applyFont="1" applyFill="1" applyBorder="1" applyAlignment="1">
      <alignment horizontal="center"/>
    </xf>
    <xf numFmtId="164" fontId="27" fillId="3" borderId="48" xfId="0" applyFont="1" applyFill="1" applyBorder="1" applyAlignment="1">
      <alignment horizontal="center"/>
    </xf>
    <xf numFmtId="164" fontId="27" fillId="3" borderId="17" xfId="0" applyFont="1" applyFill="1" applyBorder="1" applyAlignment="1">
      <alignment/>
    </xf>
    <xf numFmtId="164" fontId="27" fillId="3" borderId="17" xfId="0" applyFont="1" applyFill="1" applyBorder="1" applyAlignment="1">
      <alignment horizontal="center"/>
    </xf>
    <xf numFmtId="164" fontId="27" fillId="3" borderId="26" xfId="0" applyFont="1" applyFill="1" applyBorder="1" applyAlignment="1">
      <alignment horizontal="center"/>
    </xf>
    <xf numFmtId="164" fontId="27" fillId="3" borderId="50" xfId="0" applyFont="1" applyFill="1" applyBorder="1" applyAlignment="1" applyProtection="1">
      <alignment horizontal="center"/>
      <protection hidden="1"/>
    </xf>
    <xf numFmtId="164" fontId="27" fillId="3" borderId="10" xfId="0" applyFont="1" applyFill="1" applyBorder="1" applyAlignment="1" applyProtection="1">
      <alignment horizontal="center"/>
      <protection hidden="1"/>
    </xf>
    <xf numFmtId="164" fontId="27" fillId="3" borderId="9" xfId="0" applyFont="1" applyFill="1" applyBorder="1" applyAlignment="1" applyProtection="1">
      <alignment horizontal="center"/>
      <protection hidden="1"/>
    </xf>
    <xf numFmtId="164" fontId="27" fillId="0" borderId="5" xfId="0" applyFont="1" applyFill="1" applyBorder="1" applyAlignment="1" applyProtection="1">
      <alignment horizontal="center" vertical="center"/>
      <protection hidden="1"/>
    </xf>
    <xf numFmtId="164" fontId="27" fillId="0" borderId="5" xfId="0" applyFont="1" applyFill="1" applyBorder="1" applyAlignment="1" applyProtection="1">
      <alignment horizontal="center"/>
      <protection hidden="1"/>
    </xf>
    <xf numFmtId="164" fontId="27" fillId="3" borderId="34" xfId="0" applyFont="1" applyFill="1" applyBorder="1" applyAlignment="1">
      <alignment/>
    </xf>
    <xf numFmtId="164" fontId="27" fillId="3" borderId="39" xfId="0" applyFont="1" applyFill="1" applyBorder="1" applyAlignment="1" applyProtection="1">
      <alignment horizontal="center"/>
      <protection hidden="1"/>
    </xf>
    <xf numFmtId="164" fontId="27" fillId="3" borderId="40" xfId="0" applyFont="1" applyFill="1" applyBorder="1" applyAlignment="1" applyProtection="1">
      <alignment horizontal="center"/>
      <protection hidden="1"/>
    </xf>
    <xf numFmtId="164" fontId="27" fillId="3" borderId="37" xfId="0" applyFont="1" applyFill="1" applyBorder="1" applyAlignment="1" applyProtection="1">
      <alignment horizontal="center"/>
      <protection hidden="1"/>
    </xf>
    <xf numFmtId="164" fontId="27" fillId="3" borderId="12" xfId="0" applyFont="1" applyFill="1" applyBorder="1" applyAlignment="1">
      <alignment/>
    </xf>
    <xf numFmtId="164" fontId="30" fillId="3" borderId="18" xfId="0" applyFont="1" applyFill="1" applyBorder="1" applyAlignment="1">
      <alignment horizontal="center"/>
    </xf>
    <xf numFmtId="164" fontId="27" fillId="3" borderId="56" xfId="0" applyFont="1" applyFill="1" applyBorder="1" applyAlignment="1" applyProtection="1">
      <alignment horizontal="center"/>
      <protection hidden="1"/>
    </xf>
    <xf numFmtId="164" fontId="27" fillId="3" borderId="57" xfId="0" applyFont="1" applyFill="1" applyBorder="1" applyAlignment="1" applyProtection="1">
      <alignment horizontal="center"/>
      <protection hidden="1"/>
    </xf>
    <xf numFmtId="164" fontId="27" fillId="3" borderId="12" xfId="0" applyFont="1" applyFill="1" applyBorder="1" applyAlignment="1" applyProtection="1">
      <alignment horizontal="center"/>
      <protection hidden="1"/>
    </xf>
    <xf numFmtId="164" fontId="27" fillId="3" borderId="58" xfId="0" applyFont="1" applyFill="1" applyBorder="1" applyAlignment="1" applyProtection="1">
      <alignment horizontal="center"/>
      <protection hidden="1"/>
    </xf>
    <xf numFmtId="164" fontId="27" fillId="3" borderId="59" xfId="0" applyFont="1" applyFill="1" applyBorder="1" applyAlignment="1" applyProtection="1">
      <alignment horizontal="center"/>
      <protection hidden="1"/>
    </xf>
    <xf numFmtId="164" fontId="27" fillId="3" borderId="56" xfId="0" applyFont="1" applyFill="1" applyBorder="1" applyAlignment="1" applyProtection="1">
      <alignment horizontal="center"/>
      <protection hidden="1"/>
    </xf>
    <xf numFmtId="164" fontId="27" fillId="3" borderId="57" xfId="0" applyFont="1" applyFill="1" applyBorder="1" applyAlignment="1" applyProtection="1">
      <alignment horizontal="center"/>
      <protection hidden="1"/>
    </xf>
    <xf numFmtId="164" fontId="27" fillId="3" borderId="12" xfId="0" applyFont="1" applyFill="1" applyBorder="1" applyAlignment="1" applyProtection="1">
      <alignment horizontal="center"/>
      <protection hidden="1"/>
    </xf>
    <xf numFmtId="164" fontId="27" fillId="3" borderId="34" xfId="0" applyFont="1" applyFill="1" applyBorder="1" applyAlignment="1" applyProtection="1">
      <alignment horizontal="center"/>
      <protection hidden="1"/>
    </xf>
    <xf numFmtId="164" fontId="27" fillId="3" borderId="52" xfId="0" applyFont="1" applyFill="1" applyBorder="1" applyAlignment="1" applyProtection="1">
      <alignment horizontal="center"/>
      <protection hidden="1"/>
    </xf>
    <xf numFmtId="164" fontId="27" fillId="3" borderId="36" xfId="0" applyFont="1" applyFill="1" applyBorder="1" applyAlignment="1">
      <alignment/>
    </xf>
    <xf numFmtId="164" fontId="27" fillId="0" borderId="36" xfId="0" applyFont="1" applyFill="1" applyBorder="1" applyAlignment="1" applyProtection="1">
      <alignment horizontal="center"/>
      <protection hidden="1"/>
    </xf>
    <xf numFmtId="164" fontId="27" fillId="0" borderId="40" xfId="0" applyFont="1" applyFill="1" applyBorder="1" applyAlignment="1" applyProtection="1">
      <alignment horizontal="center"/>
      <protection hidden="1"/>
    </xf>
    <xf numFmtId="164" fontId="27" fillId="0" borderId="41" xfId="0" applyFont="1" applyFill="1" applyBorder="1" applyAlignment="1" applyProtection="1">
      <alignment horizontal="center"/>
      <protection hidden="1"/>
    </xf>
    <xf numFmtId="164" fontId="27" fillId="0" borderId="47" xfId="0" applyFont="1" applyFill="1" applyBorder="1" applyAlignment="1" applyProtection="1">
      <alignment horizontal="center"/>
      <protection hidden="1"/>
    </xf>
    <xf numFmtId="164" fontId="27" fillId="0" borderId="46" xfId="0" applyFont="1" applyFill="1" applyBorder="1" applyAlignment="1" applyProtection="1">
      <alignment horizontal="center"/>
      <protection hidden="1"/>
    </xf>
    <xf numFmtId="164" fontId="27" fillId="0" borderId="48" xfId="0" applyFont="1" applyFill="1" applyBorder="1" applyAlignment="1" applyProtection="1">
      <alignment horizontal="center"/>
      <protection hidden="1"/>
    </xf>
    <xf numFmtId="164" fontId="27" fillId="0" borderId="17" xfId="0" applyFont="1" applyFill="1" applyBorder="1" applyAlignment="1" applyProtection="1">
      <alignment horizontal="center"/>
      <protection hidden="1"/>
    </xf>
    <xf numFmtId="164" fontId="27" fillId="0" borderId="10" xfId="0" applyFont="1" applyFill="1" applyBorder="1" applyAlignment="1" applyProtection="1">
      <alignment horizontal="center"/>
      <protection hidden="1"/>
    </xf>
    <xf numFmtId="164" fontId="27" fillId="0" borderId="26" xfId="0" applyFont="1" applyFill="1" applyBorder="1" applyAlignment="1" applyProtection="1">
      <alignment horizontal="center"/>
      <protection hidden="1"/>
    </xf>
    <xf numFmtId="164" fontId="27" fillId="3" borderId="23" xfId="0" applyFont="1" applyFill="1" applyBorder="1" applyAlignment="1">
      <alignment/>
    </xf>
    <xf numFmtId="164" fontId="27" fillId="0" borderId="23" xfId="0" applyFont="1" applyFill="1" applyBorder="1" applyAlignment="1" applyProtection="1">
      <alignment horizontal="center"/>
      <protection hidden="1"/>
    </xf>
    <xf numFmtId="164" fontId="27" fillId="0" borderId="24" xfId="0" applyFont="1" applyFill="1" applyBorder="1" applyAlignment="1" applyProtection="1">
      <alignment horizontal="center"/>
      <protection hidden="1"/>
    </xf>
    <xf numFmtId="164" fontId="27" fillId="0" borderId="55" xfId="0" applyFont="1" applyFill="1" applyBorder="1" applyAlignment="1" applyProtection="1">
      <alignment horizontal="center"/>
      <protection hidden="1"/>
    </xf>
    <xf numFmtId="164" fontId="30" fillId="3" borderId="45" xfId="0" applyFont="1" applyFill="1" applyBorder="1" applyAlignment="1" applyProtection="1">
      <alignment horizontal="center"/>
      <protection hidden="1"/>
    </xf>
    <xf numFmtId="164" fontId="30" fillId="3" borderId="46" xfId="0" applyFont="1" applyFill="1" applyBorder="1" applyAlignment="1" applyProtection="1">
      <alignment horizontal="center"/>
      <protection hidden="1"/>
    </xf>
    <xf numFmtId="164" fontId="30" fillId="3" borderId="43" xfId="0" applyFont="1" applyFill="1" applyBorder="1" applyAlignment="1" applyProtection="1">
      <alignment horizontal="center"/>
      <protection hidden="1"/>
    </xf>
    <xf numFmtId="164" fontId="30" fillId="3" borderId="45" xfId="0" applyFont="1" applyFill="1" applyBorder="1" applyAlignment="1" applyProtection="1">
      <alignment horizontal="center"/>
      <protection hidden="1"/>
    </xf>
    <xf numFmtId="164" fontId="30" fillId="3" borderId="46" xfId="0" applyFont="1" applyFill="1" applyBorder="1" applyAlignment="1" applyProtection="1">
      <alignment horizontal="center"/>
      <protection hidden="1"/>
    </xf>
    <xf numFmtId="164" fontId="30" fillId="3" borderId="43" xfId="0" applyFont="1" applyFill="1" applyBorder="1" applyAlignment="1" applyProtection="1">
      <alignment horizontal="center"/>
      <protection hidden="1"/>
    </xf>
    <xf numFmtId="164" fontId="27" fillId="3" borderId="60" xfId="0" applyFont="1" applyFill="1" applyBorder="1" applyAlignment="1">
      <alignment/>
    </xf>
    <xf numFmtId="164" fontId="27" fillId="3" borderId="27" xfId="0" applyFont="1" applyFill="1" applyBorder="1" applyAlignment="1">
      <alignment/>
    </xf>
    <xf numFmtId="164" fontId="27" fillId="3" borderId="47" xfId="0" applyFont="1" applyFill="1" applyBorder="1" applyAlignment="1">
      <alignment/>
    </xf>
    <xf numFmtId="164" fontId="27" fillId="3" borderId="45" xfId="0" applyFont="1" applyFill="1" applyBorder="1" applyAlignment="1" applyProtection="1">
      <alignment horizontal="center"/>
      <protection hidden="1"/>
    </xf>
    <xf numFmtId="164" fontId="27" fillId="3" borderId="46" xfId="0" applyFont="1" applyFill="1" applyBorder="1" applyAlignment="1" applyProtection="1">
      <alignment horizontal="center"/>
      <protection hidden="1"/>
    </xf>
    <xf numFmtId="164" fontId="27" fillId="3" borderId="43" xfId="0" applyFont="1" applyFill="1" applyBorder="1" applyAlignment="1" applyProtection="1">
      <alignment horizontal="center"/>
      <protection hidden="1"/>
    </xf>
    <xf numFmtId="166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3" borderId="50" xfId="0" applyFont="1" applyFill="1" applyBorder="1" applyAlignment="1">
      <alignment horizontal="center"/>
    </xf>
    <xf numFmtId="164" fontId="27" fillId="3" borderId="10" xfId="0" applyFont="1" applyFill="1" applyBorder="1" applyAlignment="1">
      <alignment horizontal="center"/>
    </xf>
    <xf numFmtId="164" fontId="27" fillId="3" borderId="9" xfId="0" applyFont="1" applyFill="1" applyBorder="1" applyAlignment="1">
      <alignment horizontal="center"/>
    </xf>
    <xf numFmtId="164" fontId="27" fillId="3" borderId="34" xfId="0" applyFont="1" applyFill="1" applyBorder="1" applyAlignment="1">
      <alignment horizontal="center"/>
    </xf>
    <xf numFmtId="164" fontId="27" fillId="3" borderId="52" xfId="0" applyFont="1" applyFill="1" applyBorder="1" applyAlignment="1">
      <alignment horizontal="center"/>
    </xf>
    <xf numFmtId="164" fontId="27" fillId="3" borderId="36" xfId="0" applyFont="1" applyFill="1" applyBorder="1" applyAlignment="1">
      <alignment horizontal="center"/>
    </xf>
    <xf numFmtId="164" fontId="27" fillId="3" borderId="41" xfId="0" applyFont="1" applyFill="1" applyBorder="1" applyAlignment="1">
      <alignment horizontal="center"/>
    </xf>
    <xf numFmtId="164" fontId="27" fillId="3" borderId="61" xfId="0" applyFont="1" applyFill="1" applyBorder="1" applyAlignment="1">
      <alignment/>
    </xf>
    <xf numFmtId="164" fontId="27" fillId="3" borderId="62" xfId="0" applyFont="1" applyFill="1" applyBorder="1" applyAlignment="1">
      <alignment/>
    </xf>
    <xf numFmtId="164" fontId="27" fillId="3" borderId="63" xfId="0" applyFont="1" applyFill="1" applyBorder="1" applyAlignment="1">
      <alignment horizontal="center"/>
    </xf>
    <xf numFmtId="164" fontId="27" fillId="3" borderId="64" xfId="0" applyFont="1" applyFill="1" applyBorder="1" applyAlignment="1" applyProtection="1">
      <alignment horizontal="center"/>
      <protection hidden="1"/>
    </xf>
    <xf numFmtId="164" fontId="27" fillId="3" borderId="65" xfId="0" applyFont="1" applyFill="1" applyBorder="1" applyAlignment="1" applyProtection="1">
      <alignment horizontal="center"/>
      <protection hidden="1"/>
    </xf>
    <xf numFmtId="164" fontId="27" fillId="3" borderId="62" xfId="0" applyFont="1" applyFill="1" applyBorder="1" applyAlignment="1" applyProtection="1">
      <alignment horizontal="center"/>
      <protection hidden="1"/>
    </xf>
    <xf numFmtId="164" fontId="27" fillId="3" borderId="61" xfId="0" applyFont="1" applyFill="1" applyBorder="1" applyAlignment="1" applyProtection="1">
      <alignment horizontal="center"/>
      <protection hidden="1"/>
    </xf>
    <xf numFmtId="164" fontId="27" fillId="3" borderId="38" xfId="0" applyFont="1" applyFill="1" applyBorder="1" applyAlignment="1" applyProtection="1">
      <alignment horizontal="center"/>
      <protection hidden="1"/>
    </xf>
    <xf numFmtId="164" fontId="27" fillId="3" borderId="64" xfId="0" applyFont="1" applyFill="1" applyBorder="1" applyAlignment="1">
      <alignment horizontal="center"/>
    </xf>
    <xf numFmtId="164" fontId="27" fillId="3" borderId="65" xfId="0" applyFont="1" applyFill="1" applyBorder="1" applyAlignment="1">
      <alignment horizontal="center"/>
    </xf>
    <xf numFmtId="164" fontId="27" fillId="3" borderId="62" xfId="0" applyFont="1" applyFill="1" applyBorder="1" applyAlignment="1">
      <alignment horizontal="center"/>
    </xf>
    <xf numFmtId="164" fontId="27" fillId="3" borderId="61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3" borderId="0" xfId="0" applyFont="1" applyFill="1" applyBorder="1" applyAlignment="1" applyProtection="1">
      <alignment horizontal="center"/>
      <protection hidden="1"/>
    </xf>
    <xf numFmtId="164" fontId="31" fillId="3" borderId="0" xfId="0" applyFont="1" applyFill="1" applyBorder="1" applyAlignment="1">
      <alignment horizontal="center"/>
    </xf>
    <xf numFmtId="164" fontId="31" fillId="3" borderId="0" xfId="0" applyFont="1" applyFill="1" applyBorder="1" applyAlignment="1" applyProtection="1">
      <alignment horizontal="center"/>
      <protection hidden="1"/>
    </xf>
    <xf numFmtId="164" fontId="31" fillId="0" borderId="0" xfId="0" applyFont="1" applyFill="1" applyBorder="1" applyAlignment="1" applyProtection="1">
      <alignment horizontal="center" vertical="center"/>
      <protection hidden="1"/>
    </xf>
    <xf numFmtId="164" fontId="31" fillId="0" borderId="0" xfId="0" applyFont="1" applyFill="1" applyBorder="1" applyAlignment="1" applyProtection="1">
      <alignment horizontal="center"/>
      <protection hidden="1"/>
    </xf>
    <xf numFmtId="166" fontId="31" fillId="0" borderId="0" xfId="0" applyNumberFormat="1" applyFont="1" applyFill="1" applyBorder="1" applyAlignment="1" applyProtection="1">
      <alignment horizontal="center"/>
      <protection hidden="1"/>
    </xf>
    <xf numFmtId="164" fontId="32" fillId="0" borderId="0" xfId="0" applyFont="1" applyFill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7" fillId="3" borderId="0" xfId="0" applyFont="1" applyFill="1" applyBorder="1" applyAlignment="1">
      <alignment horizontal="center"/>
    </xf>
    <xf numFmtId="164" fontId="27" fillId="3" borderId="0" xfId="0" applyFont="1" applyFill="1" applyBorder="1" applyAlignment="1" applyProtection="1">
      <alignment horizontal="center"/>
      <protection hidden="1"/>
    </xf>
    <xf numFmtId="164" fontId="27" fillId="0" borderId="0" xfId="0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/>
      <protection hidden="1"/>
    </xf>
    <xf numFmtId="164" fontId="30" fillId="3" borderId="0" xfId="0" applyFont="1" applyFill="1" applyBorder="1" applyAlignment="1">
      <alignment horizontal="center"/>
    </xf>
    <xf numFmtId="164" fontId="30" fillId="3" borderId="0" xfId="0" applyFont="1" applyFill="1" applyBorder="1" applyAlignment="1" applyProtection="1">
      <alignment horizontal="center"/>
      <protection hidden="1"/>
    </xf>
    <xf numFmtId="164" fontId="30" fillId="0" borderId="0" xfId="0" applyFont="1" applyFill="1" applyBorder="1" applyAlignment="1" applyProtection="1">
      <alignment horizontal="center" vertical="center"/>
      <protection hidden="1"/>
    </xf>
    <xf numFmtId="164" fontId="30" fillId="0" borderId="0" xfId="0" applyFont="1" applyFill="1" applyBorder="1" applyAlignment="1" applyProtection="1">
      <alignment horizontal="center"/>
      <protection hidden="1"/>
    </xf>
    <xf numFmtId="166" fontId="30" fillId="0" borderId="0" xfId="0" applyNumberFormat="1" applyFont="1" applyFill="1" applyBorder="1" applyAlignment="1" applyProtection="1">
      <alignment horizontal="center"/>
      <protection hidden="1"/>
    </xf>
    <xf numFmtId="166" fontId="30" fillId="0" borderId="66" xfId="0" applyNumberFormat="1" applyFont="1" applyFill="1" applyBorder="1" applyAlignment="1" applyProtection="1">
      <alignment horizontal="center"/>
      <protection hidden="1"/>
    </xf>
    <xf numFmtId="166" fontId="27" fillId="0" borderId="25" xfId="0" applyNumberFormat="1" applyFont="1" applyFill="1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4" fontId="0" fillId="2" borderId="0" xfId="0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4" borderId="36" xfId="0" applyFill="1" applyBorder="1" applyAlignment="1">
      <alignment horizontal="center"/>
    </xf>
    <xf numFmtId="164" fontId="0" fillId="4" borderId="40" xfId="0" applyFill="1" applyBorder="1" applyAlignment="1">
      <alignment horizontal="center"/>
    </xf>
    <xf numFmtId="166" fontId="33" fillId="4" borderId="1" xfId="0" applyNumberFormat="1" applyFont="1" applyFill="1" applyBorder="1" applyAlignment="1">
      <alignment horizontal="center" vertical="center"/>
    </xf>
    <xf numFmtId="166" fontId="33" fillId="5" borderId="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6" fontId="33" fillId="6" borderId="1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6" fontId="34" fillId="5" borderId="1" xfId="0" applyNumberFormat="1" applyFont="1" applyFill="1" applyBorder="1" applyAlignment="1">
      <alignment horizontal="center" vertical="center"/>
    </xf>
    <xf numFmtId="166" fontId="34" fillId="6" borderId="1" xfId="0" applyNumberFormat="1" applyFont="1" applyFill="1" applyBorder="1" applyAlignment="1">
      <alignment horizontal="center" vertical="center"/>
    </xf>
    <xf numFmtId="166" fontId="33" fillId="7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8</xdr:col>
      <xdr:colOff>809625</xdr:colOff>
      <xdr:row>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409700" y="0"/>
          <a:ext cx="7315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10. Amatieru Līga 
27.05.2016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</xdr:rowOff>
    </xdr:from>
    <xdr:to>
      <xdr:col>9</xdr:col>
      <xdr:colOff>66675</xdr:colOff>
      <xdr:row>0</xdr:row>
      <xdr:rowOff>1114425</xdr:rowOff>
    </xdr:to>
    <xdr:sp>
      <xdr:nvSpPr>
        <xdr:cNvPr id="1" name="AutoShape 3"/>
        <xdr:cNvSpPr>
          <a:spLocks/>
        </xdr:cNvSpPr>
      </xdr:nvSpPr>
      <xdr:spPr>
        <a:xfrm>
          <a:off x="1295400" y="38100"/>
          <a:ext cx="68484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10. Amatieru Līgas 
VĪRIEŠU reitings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95250</xdr:rowOff>
    </xdr:from>
    <xdr:to>
      <xdr:col>9</xdr:col>
      <xdr:colOff>409575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1800225" y="95250"/>
          <a:ext cx="71723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</a:rPr>
            <a:t>10. Amatieru Līgas 
SIEVIEŠU reitings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\Desktop\turniri\Liga\10%20ABL%202016\10.ABL%20bronze%20results%202%20ap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.reitings"/>
      <sheetName val="Vīr.reit.2.aplis"/>
      <sheetName val="Punkti"/>
      <sheetName val="Siev.reit.2.aplis"/>
      <sheetName val="Rezultati"/>
      <sheetName val="spli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workbookViewId="0" topLeftCell="A1">
      <selection activeCell="G25" sqref="G25"/>
    </sheetView>
  </sheetViews>
  <sheetFormatPr defaultColWidth="9.140625" defaultRowHeight="12.75"/>
  <cols>
    <col min="2" max="2" width="7.57421875" style="0" customWidth="1"/>
    <col min="3" max="3" width="30.8515625" style="0" customWidth="1"/>
    <col min="4" max="4" width="19.00390625" style="0" customWidth="1"/>
    <col min="5" max="5" width="15.00390625" style="0" customWidth="1"/>
    <col min="6" max="6" width="13.8515625" style="0" customWidth="1"/>
    <col min="7" max="7" width="14.140625" style="0" customWidth="1"/>
    <col min="9" max="9" width="21.00390625" style="0" customWidth="1"/>
  </cols>
  <sheetData>
    <row r="1" spans="1:8" ht="16.5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16.5">
      <c r="A3" s="1"/>
      <c r="B3" s="1"/>
      <c r="C3" s="1"/>
      <c r="D3" s="1"/>
      <c r="E3" s="1"/>
      <c r="F3" s="1"/>
      <c r="G3" s="1"/>
      <c r="H3" s="1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"/>
      <c r="B5" s="1"/>
      <c r="C5" s="1"/>
      <c r="D5" s="1"/>
      <c r="E5" s="1"/>
      <c r="F5" s="1"/>
      <c r="G5" s="1"/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9" ht="16.5">
      <c r="A7" s="1"/>
      <c r="B7" s="2" t="s">
        <v>0</v>
      </c>
      <c r="C7" s="2"/>
      <c r="D7" s="2"/>
      <c r="E7" s="2"/>
      <c r="F7" s="2"/>
      <c r="G7" s="2"/>
      <c r="H7" s="2"/>
      <c r="I7" s="2"/>
    </row>
    <row r="8" spans="1:9" ht="16.5">
      <c r="A8" s="1"/>
      <c r="B8" s="2"/>
      <c r="C8" s="2"/>
      <c r="D8" s="2"/>
      <c r="E8" s="2"/>
      <c r="F8" s="2"/>
      <c r="G8" s="2"/>
      <c r="H8" s="2"/>
      <c r="I8" s="2"/>
    </row>
    <row r="9" spans="1:9" ht="16.5">
      <c r="A9" s="1"/>
      <c r="B9" s="2"/>
      <c r="C9" s="2"/>
      <c r="D9" s="2"/>
      <c r="E9" s="2"/>
      <c r="F9" s="2"/>
      <c r="G9" s="2"/>
      <c r="H9" s="2"/>
      <c r="I9" s="2"/>
    </row>
    <row r="10" spans="1:9" ht="39.75" customHeight="1">
      <c r="A10" s="1"/>
      <c r="B10" s="3" t="s">
        <v>1</v>
      </c>
      <c r="C10" s="4" t="s">
        <v>2</v>
      </c>
      <c r="D10" s="4" t="s">
        <v>3</v>
      </c>
      <c r="E10" s="4" t="s">
        <v>4</v>
      </c>
      <c r="F10" s="5" t="s">
        <v>5</v>
      </c>
      <c r="G10" s="6" t="s">
        <v>6</v>
      </c>
      <c r="H10" s="7" t="s">
        <v>7</v>
      </c>
      <c r="I10" s="7" t="s">
        <v>8</v>
      </c>
    </row>
    <row r="11" spans="1:9" ht="39.75" customHeight="1">
      <c r="A11" s="1"/>
      <c r="B11" s="8">
        <v>1</v>
      </c>
      <c r="C11" s="9">
        <f>Rezultati!A14</f>
        <v>0</v>
      </c>
      <c r="D11" s="10">
        <f>Punkti!AM11</f>
        <v>40</v>
      </c>
      <c r="E11" s="10">
        <f>Punkti!AN11</f>
        <v>8</v>
      </c>
      <c r="F11" s="10">
        <f>Rezultati!AO14+Rezultati!AO15+Rezultati!AO16+Rezultati!AO17+Rezultati!AO18</f>
        <v>14552</v>
      </c>
      <c r="G11" s="10">
        <f>Punkti!AM13</f>
        <v>14552</v>
      </c>
      <c r="H11" s="11">
        <f>'Kom.reitings'!D11+'Kom.reitings'!E11</f>
        <v>48</v>
      </c>
      <c r="I11" s="12">
        <f>Rezultati!AQ14</f>
        <v>173.23809523809524</v>
      </c>
    </row>
    <row r="12" spans="1:9" ht="39.75" customHeight="1">
      <c r="A12" s="1"/>
      <c r="B12" s="8">
        <v>2</v>
      </c>
      <c r="C12" s="9">
        <f>Rezultati!A4</f>
        <v>0</v>
      </c>
      <c r="D12" s="10">
        <f>Punkti!AM5</f>
        <v>32</v>
      </c>
      <c r="E12" s="10">
        <f>Punkti!AN5</f>
        <v>8</v>
      </c>
      <c r="F12" s="10">
        <f>Rezultati!AO4+Rezultati!AO5+Rezultati!AO6+Rezultati!AO7+Rezultati!AO8</f>
        <v>14271</v>
      </c>
      <c r="G12" s="10">
        <f>Punkti!AM7</f>
        <v>14271</v>
      </c>
      <c r="H12" s="11">
        <f>'Kom.reitings'!D12+'Kom.reitings'!E12</f>
        <v>40</v>
      </c>
      <c r="I12" s="12">
        <f>Rezultati!AQ4</f>
        <v>169.89285714285714</v>
      </c>
    </row>
    <row r="13" spans="1:9" ht="39.75" customHeight="1">
      <c r="A13" s="1"/>
      <c r="B13" s="8">
        <v>3</v>
      </c>
      <c r="C13" s="10">
        <f>Rezultati!A19</f>
        <v>0</v>
      </c>
      <c r="D13" s="10">
        <f>Punkti!AM14</f>
        <v>30</v>
      </c>
      <c r="E13" s="10">
        <f>Punkti!AN14</f>
        <v>6</v>
      </c>
      <c r="F13" s="10">
        <f>Rezultati!AO19+Rezultati!AO20+Rezultati!AO21+Rezultati!AO22+Rezultati!AO23</f>
        <v>13896</v>
      </c>
      <c r="G13" s="10">
        <f>Punkti!AM16</f>
        <v>13896</v>
      </c>
      <c r="H13" s="11">
        <f>'Kom.reitings'!D13+'Kom.reitings'!E13</f>
        <v>36</v>
      </c>
      <c r="I13" s="12">
        <f>Rezultati!AQ19</f>
        <v>173.7</v>
      </c>
    </row>
    <row r="14" spans="1:9" ht="39.75" customHeight="1">
      <c r="A14" s="1"/>
      <c r="B14" s="13">
        <v>4</v>
      </c>
      <c r="C14" s="14">
        <f>Rezultati!A40</f>
        <v>0</v>
      </c>
      <c r="D14" s="13">
        <f>Punkti!AM26</f>
        <v>26</v>
      </c>
      <c r="E14" s="13">
        <f>Punkti!AN26</f>
        <v>8</v>
      </c>
      <c r="F14" s="13">
        <f>Rezultati!AO40+Rezultati!AO41+Rezultati!AO42+Rezultati!AO43+Rezultati!AO44</f>
        <v>14140</v>
      </c>
      <c r="G14" s="13">
        <f>Punkti!AM28</f>
        <v>14140</v>
      </c>
      <c r="H14" s="15">
        <f>'Kom.reitings'!D14+'Kom.reitings'!E14</f>
        <v>34</v>
      </c>
      <c r="I14" s="16">
        <f>Rezultati!AQ40</f>
        <v>168.33333333333334</v>
      </c>
    </row>
    <row r="15" spans="1:9" ht="39.75" customHeight="1">
      <c r="A15" s="1"/>
      <c r="B15" s="13">
        <v>5</v>
      </c>
      <c r="C15" s="14">
        <f>Rezultati!A24</f>
        <v>0</v>
      </c>
      <c r="D15" s="13">
        <f>Punkti!AM17</f>
        <v>28</v>
      </c>
      <c r="E15" s="13">
        <f>Punkti!AN17</f>
        <v>6</v>
      </c>
      <c r="F15" s="13">
        <f>Rezultati!AO24+Rezultati!AO25+Rezultati!AO26+Rezultati!AO27+Rezultati!AO28+Rezultati!AO29</f>
        <v>13997</v>
      </c>
      <c r="G15" s="13">
        <f>Punkti!AM19</f>
        <v>13997</v>
      </c>
      <c r="H15" s="15">
        <f>'Kom.reitings'!D15+'Kom.reitings'!E15</f>
        <v>34</v>
      </c>
      <c r="I15" s="16">
        <f>Rezultati!AQ24</f>
        <v>166.63095238095238</v>
      </c>
    </row>
    <row r="16" spans="1:9" ht="39.75" customHeight="1">
      <c r="A16" s="1"/>
      <c r="B16" s="13">
        <v>6</v>
      </c>
      <c r="C16" s="14">
        <f>Rezultati!A30</f>
        <v>0</v>
      </c>
      <c r="D16" s="13">
        <f>Punkti!AM20</f>
        <v>23</v>
      </c>
      <c r="E16" s="13">
        <f>Punkti!AN20</f>
        <v>8</v>
      </c>
      <c r="F16" s="13">
        <f>Rezultati!AO30+Rezultati!AO31+Rezultati!AO32+Rezultati!AO33+Rezultati!AO34</f>
        <v>13716</v>
      </c>
      <c r="G16" s="13">
        <f>Punkti!AM22</f>
        <v>13716</v>
      </c>
      <c r="H16" s="15">
        <f>'Kom.reitings'!D16+'Kom.reitings'!E16</f>
        <v>31</v>
      </c>
      <c r="I16" s="16">
        <f>Rezultati!AQ30</f>
        <v>163.28571428571428</v>
      </c>
    </row>
    <row r="17" spans="1:9" ht="39.75" customHeight="1">
      <c r="A17" s="1"/>
      <c r="B17" s="17">
        <v>7</v>
      </c>
      <c r="C17" s="17">
        <f>Rezultati!A35</f>
        <v>0</v>
      </c>
      <c r="D17" s="17">
        <f>Punkti!AM23</f>
        <v>26</v>
      </c>
      <c r="E17" s="17">
        <f>Punkti!AN23</f>
        <v>4</v>
      </c>
      <c r="F17" s="17">
        <f>Rezultati!AO35+Rezultati!AO36+Rezultati!AO37+Rezultati!AO38+Rezultati!AO39</f>
        <v>13742</v>
      </c>
      <c r="G17" s="17">
        <f>Punkti!AM25</f>
        <v>13742</v>
      </c>
      <c r="H17" s="18">
        <f>'Kom.reitings'!D17+'Kom.reitings'!E17</f>
        <v>30</v>
      </c>
      <c r="I17" s="19">
        <f>Rezultati!AQ35</f>
        <v>163.5952380952381</v>
      </c>
    </row>
    <row r="18" spans="1:9" ht="39.75" customHeight="1">
      <c r="A18" s="1"/>
      <c r="B18" s="17">
        <v>8</v>
      </c>
      <c r="C18" s="20">
        <f>Rezultati!A9</f>
        <v>0</v>
      </c>
      <c r="D18" s="17">
        <f>Punkti!AM8</f>
        <v>19</v>
      </c>
      <c r="E18" s="17">
        <f>Punkti!AN8</f>
        <v>4</v>
      </c>
      <c r="F18" s="17">
        <f>Rezultati!AO9+Rezultati!AO10+Rezultati!AO11+Rezultati!AO12+Rezultati!AO13</f>
        <v>13663</v>
      </c>
      <c r="G18" s="17">
        <f>Punkti!AM10</f>
        <v>13663</v>
      </c>
      <c r="H18" s="18">
        <f>'Kom.reitings'!D18+'Kom.reitings'!E18</f>
        <v>23</v>
      </c>
      <c r="I18" s="19">
        <f>Rezultati!AQ9</f>
        <v>162.6547619047619</v>
      </c>
    </row>
    <row r="19" spans="1:9" ht="8.25" customHeight="1" hidden="1">
      <c r="A19" s="1"/>
      <c r="B19" s="17">
        <v>9</v>
      </c>
      <c r="C19" s="17">
        <f>Rezultati!A45</f>
        <v>0</v>
      </c>
      <c r="D19" s="17">
        <f>Punkti!AM29</f>
        <v>0</v>
      </c>
      <c r="E19" s="17">
        <f>Punkti!AN29</f>
        <v>0</v>
      </c>
      <c r="F19" s="17">
        <f>Rezultati!AO45+Rezultati!AO46+Rezultati!AO47+Rezultati!AO48+Rezultati!AO49+Rezultati!AO50</f>
        <v>0</v>
      </c>
      <c r="G19" s="17">
        <f>Punkti!AM31</f>
        <v>0</v>
      </c>
      <c r="H19" s="18">
        <f>'Kom.reitings'!D19+'Kom.reitings'!E19</f>
        <v>0</v>
      </c>
      <c r="I19" s="19" t="e">
        <f>Rezultati!AQ45</f>
        <v>#DIV/0!</v>
      </c>
    </row>
  </sheetData>
  <sheetProtection selectLockedCells="1" selectUnlockedCells="1"/>
  <mergeCells count="1">
    <mergeCell ref="B7:I9"/>
  </mergeCells>
  <printOptions/>
  <pageMargins left="0.2298611111111111" right="0.30972222222222223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6"/>
  <sheetViews>
    <sheetView zoomScale="85" zoomScaleNormal="85" workbookViewId="0" topLeftCell="A1">
      <selection activeCell="R10" sqref="R10"/>
    </sheetView>
  </sheetViews>
  <sheetFormatPr defaultColWidth="9.140625" defaultRowHeight="12.75"/>
  <cols>
    <col min="1" max="1" width="6.7109375" style="0" customWidth="1"/>
    <col min="2" max="2" width="8.00390625" style="21" customWidth="1"/>
    <col min="3" max="3" width="29.140625" style="22" customWidth="1"/>
    <col min="4" max="4" width="35.28125" style="23" customWidth="1"/>
    <col min="5" max="6" width="8.140625" style="21" customWidth="1"/>
    <col min="7" max="7" width="9.421875" style="24" customWidth="1"/>
    <col min="8" max="9" width="8.140625" style="21" customWidth="1"/>
    <col min="10" max="10" width="11.00390625" style="21" customWidth="1"/>
    <col min="11" max="12" width="8.140625" style="0" customWidth="1"/>
    <col min="13" max="13" width="9.421875" style="0" customWidth="1"/>
  </cols>
  <sheetData>
    <row r="1" ht="87.75" customHeight="1">
      <c r="M1" s="21"/>
    </row>
    <row r="2" ht="3" customHeight="1" hidden="1"/>
    <row r="3" spans="2:13" ht="85.5" customHeight="1">
      <c r="B3" s="25" t="s">
        <v>1</v>
      </c>
      <c r="C3" s="26" t="s">
        <v>2</v>
      </c>
      <c r="D3" s="26" t="s">
        <v>9</v>
      </c>
      <c r="E3" s="27" t="s">
        <v>10</v>
      </c>
      <c r="F3" s="28" t="s">
        <v>11</v>
      </c>
      <c r="G3" s="29" t="s">
        <v>12</v>
      </c>
      <c r="H3" s="27" t="s">
        <v>13</v>
      </c>
      <c r="I3" s="28" t="s">
        <v>14</v>
      </c>
      <c r="J3" s="30" t="s">
        <v>15</v>
      </c>
      <c r="K3" s="27" t="s">
        <v>16</v>
      </c>
      <c r="L3" s="28" t="s">
        <v>17</v>
      </c>
      <c r="M3" s="30" t="s">
        <v>18</v>
      </c>
    </row>
    <row r="4" spans="2:13" ht="18.75">
      <c r="B4" s="31">
        <v>1</v>
      </c>
      <c r="C4" s="32">
        <f>Rezultati!A20</f>
        <v>0</v>
      </c>
      <c r="D4" s="32">
        <f>Rezultati!B20</f>
        <v>0</v>
      </c>
      <c r="E4" s="33">
        <v>32</v>
      </c>
      <c r="F4" s="33">
        <v>6293</v>
      </c>
      <c r="G4" s="34">
        <f aca="true" t="shared" si="0" ref="G4:G24">F4/E4</f>
        <v>196.65625</v>
      </c>
      <c r="H4" s="35">
        <f>Rezultati!AP20</f>
        <v>16</v>
      </c>
      <c r="I4" s="35">
        <f>Rezultati!AO20</f>
        <v>2747</v>
      </c>
      <c r="J4" s="36">
        <f aca="true" t="shared" si="1" ref="J4:J36">I4/H4</f>
        <v>171.6875</v>
      </c>
      <c r="K4" s="35">
        <f aca="true" t="shared" si="2" ref="K4:K36">H4+E4</f>
        <v>48</v>
      </c>
      <c r="L4" s="35">
        <f aca="true" t="shared" si="3" ref="L4:L36">I4+F4</f>
        <v>9040</v>
      </c>
      <c r="M4" s="36">
        <f aca="true" t="shared" si="4" ref="M4:M36">L4/K4</f>
        <v>188.33333333333334</v>
      </c>
    </row>
    <row r="5" spans="2:13" ht="18.75">
      <c r="B5" s="31">
        <v>2</v>
      </c>
      <c r="C5" s="32">
        <f>Rezultati!A19</f>
        <v>0</v>
      </c>
      <c r="D5" s="32">
        <f>Rezultati!B19</f>
        <v>0</v>
      </c>
      <c r="E5" s="33">
        <v>32</v>
      </c>
      <c r="F5" s="33">
        <v>6459</v>
      </c>
      <c r="G5" s="34">
        <f t="shared" si="0"/>
        <v>201.84375</v>
      </c>
      <c r="H5" s="35">
        <f>Rezultati!AP19</f>
        <v>24</v>
      </c>
      <c r="I5" s="35">
        <f>Rezultati!AO19</f>
        <v>4074</v>
      </c>
      <c r="J5" s="36">
        <f t="shared" si="1"/>
        <v>169.75</v>
      </c>
      <c r="K5" s="35">
        <f t="shared" si="2"/>
        <v>56</v>
      </c>
      <c r="L5" s="35">
        <f t="shared" si="3"/>
        <v>10533</v>
      </c>
      <c r="M5" s="36">
        <f t="shared" si="4"/>
        <v>188.08928571428572</v>
      </c>
    </row>
    <row r="6" spans="2:13" ht="18.75">
      <c r="B6" s="31">
        <v>3</v>
      </c>
      <c r="C6" s="32">
        <f>Rezultati!A16</f>
        <v>0</v>
      </c>
      <c r="D6" s="32">
        <f>Rezultati!B16</f>
        <v>0</v>
      </c>
      <c r="E6" s="33">
        <v>23</v>
      </c>
      <c r="F6" s="33">
        <v>4311</v>
      </c>
      <c r="G6" s="34">
        <f t="shared" si="0"/>
        <v>187.43478260869566</v>
      </c>
      <c r="H6" s="35">
        <f>Rezultati!AP16</f>
        <v>19</v>
      </c>
      <c r="I6" s="35">
        <f>Rezultati!AO16</f>
        <v>3370</v>
      </c>
      <c r="J6" s="36">
        <f t="shared" si="1"/>
        <v>177.3684210526316</v>
      </c>
      <c r="K6" s="35">
        <f t="shared" si="2"/>
        <v>42</v>
      </c>
      <c r="L6" s="35">
        <f t="shared" si="3"/>
        <v>7681</v>
      </c>
      <c r="M6" s="36">
        <f t="shared" si="4"/>
        <v>182.88095238095238</v>
      </c>
    </row>
    <row r="7" spans="2:13" ht="18.75">
      <c r="B7" s="37">
        <v>4</v>
      </c>
      <c r="C7" s="38">
        <f>Rezultati!A9</f>
        <v>0</v>
      </c>
      <c r="D7" s="38">
        <f>Rezultati!B9</f>
        <v>0</v>
      </c>
      <c r="E7" s="39">
        <v>28</v>
      </c>
      <c r="F7" s="39">
        <v>5285</v>
      </c>
      <c r="G7" s="40">
        <f t="shared" si="0"/>
        <v>188.75</v>
      </c>
      <c r="H7" s="41">
        <f>Rezultati!AP9</f>
        <v>24</v>
      </c>
      <c r="I7" s="41">
        <f>Rezultati!AO9</f>
        <v>4173</v>
      </c>
      <c r="J7" s="42">
        <f t="shared" si="1"/>
        <v>173.875</v>
      </c>
      <c r="K7" s="41">
        <f t="shared" si="2"/>
        <v>52</v>
      </c>
      <c r="L7" s="41">
        <f t="shared" si="3"/>
        <v>9458</v>
      </c>
      <c r="M7" s="42">
        <f t="shared" si="4"/>
        <v>181.8846153846154</v>
      </c>
    </row>
    <row r="8" spans="2:13" ht="18.75">
      <c r="B8" s="37">
        <v>5</v>
      </c>
      <c r="C8" s="38">
        <f>Rezultati!A32</f>
        <v>0</v>
      </c>
      <c r="D8" s="38">
        <f>Rezultati!B32</f>
        <v>0</v>
      </c>
      <c r="E8" s="39">
        <v>32</v>
      </c>
      <c r="F8" s="39">
        <v>6113</v>
      </c>
      <c r="G8" s="40">
        <f t="shared" si="0"/>
        <v>191.03125</v>
      </c>
      <c r="H8" s="41">
        <f>Rezultati!AP32</f>
        <v>28</v>
      </c>
      <c r="I8" s="41">
        <f>Rezultati!AO32</f>
        <v>4609</v>
      </c>
      <c r="J8" s="42">
        <f t="shared" si="1"/>
        <v>164.60714285714286</v>
      </c>
      <c r="K8" s="41">
        <f t="shared" si="2"/>
        <v>60</v>
      </c>
      <c r="L8" s="41">
        <f t="shared" si="3"/>
        <v>10722</v>
      </c>
      <c r="M8" s="42">
        <f t="shared" si="4"/>
        <v>178.7</v>
      </c>
    </row>
    <row r="9" spans="2:13" ht="18.75">
      <c r="B9" s="37">
        <v>6</v>
      </c>
      <c r="C9" s="38">
        <f>Rezultati!A11</f>
        <v>0</v>
      </c>
      <c r="D9" s="38">
        <f>Rezultati!B11</f>
        <v>0</v>
      </c>
      <c r="E9" s="39">
        <v>32</v>
      </c>
      <c r="F9" s="39">
        <v>5777</v>
      </c>
      <c r="G9" s="40">
        <f t="shared" si="0"/>
        <v>180.53125</v>
      </c>
      <c r="H9" s="41">
        <f>Rezultati!AP11</f>
        <v>20</v>
      </c>
      <c r="I9" s="41">
        <f>Rezultati!AO11</f>
        <v>3515</v>
      </c>
      <c r="J9" s="42">
        <f t="shared" si="1"/>
        <v>175.75</v>
      </c>
      <c r="K9" s="41">
        <f t="shared" si="2"/>
        <v>52</v>
      </c>
      <c r="L9" s="41">
        <f t="shared" si="3"/>
        <v>9292</v>
      </c>
      <c r="M9" s="42">
        <f t="shared" si="4"/>
        <v>178.69230769230768</v>
      </c>
    </row>
    <row r="10" spans="2:13" ht="18.75">
      <c r="B10" s="37">
        <v>7</v>
      </c>
      <c r="C10" s="38">
        <f>Rezultati!A21</f>
        <v>0</v>
      </c>
      <c r="D10" s="38">
        <f>Rezultati!B21</f>
        <v>0</v>
      </c>
      <c r="E10" s="39">
        <v>32</v>
      </c>
      <c r="F10" s="39">
        <v>5920</v>
      </c>
      <c r="G10" s="40">
        <f t="shared" si="0"/>
        <v>185</v>
      </c>
      <c r="H10" s="41">
        <f>Rezultati!AP21</f>
        <v>28</v>
      </c>
      <c r="I10" s="41">
        <f>Rezultati!AO21</f>
        <v>4765</v>
      </c>
      <c r="J10" s="42">
        <f t="shared" si="1"/>
        <v>170.17857142857142</v>
      </c>
      <c r="K10" s="41">
        <f t="shared" si="2"/>
        <v>60</v>
      </c>
      <c r="L10" s="41">
        <f t="shared" si="3"/>
        <v>10685</v>
      </c>
      <c r="M10" s="42">
        <f t="shared" si="4"/>
        <v>178.08333333333334</v>
      </c>
    </row>
    <row r="11" spans="2:13" ht="18.75">
      <c r="B11" s="37">
        <v>8</v>
      </c>
      <c r="C11" s="38">
        <f>Rezultati!A24</f>
        <v>0</v>
      </c>
      <c r="D11" s="38">
        <f>Rezultati!B24</f>
        <v>0</v>
      </c>
      <c r="E11" s="39">
        <v>32</v>
      </c>
      <c r="F11" s="39">
        <v>5817</v>
      </c>
      <c r="G11" s="40">
        <f t="shared" si="0"/>
        <v>181.78125</v>
      </c>
      <c r="H11" s="41">
        <f>Rezultati!AP24</f>
        <v>28</v>
      </c>
      <c r="I11" s="41">
        <f>Rezultati!AO24</f>
        <v>4848</v>
      </c>
      <c r="J11" s="42">
        <f t="shared" si="1"/>
        <v>173.14285714285714</v>
      </c>
      <c r="K11" s="41">
        <f t="shared" si="2"/>
        <v>60</v>
      </c>
      <c r="L11" s="41">
        <f t="shared" si="3"/>
        <v>10665</v>
      </c>
      <c r="M11" s="42">
        <f t="shared" si="4"/>
        <v>177.75</v>
      </c>
    </row>
    <row r="12" spans="2:13" ht="18.75">
      <c r="B12" s="37">
        <v>9</v>
      </c>
      <c r="C12" s="38">
        <f>Rezultati!A41</f>
        <v>0</v>
      </c>
      <c r="D12" s="38">
        <f>Rezultati!B41</f>
        <v>0</v>
      </c>
      <c r="E12" s="39">
        <v>24</v>
      </c>
      <c r="F12" s="39">
        <v>4333</v>
      </c>
      <c r="G12" s="40">
        <f t="shared" si="0"/>
        <v>180.54166666666666</v>
      </c>
      <c r="H12" s="41">
        <f>Rezultati!AP41</f>
        <v>20</v>
      </c>
      <c r="I12" s="41">
        <f>Rezultati!AO41</f>
        <v>3473</v>
      </c>
      <c r="J12" s="42">
        <f t="shared" si="1"/>
        <v>173.65</v>
      </c>
      <c r="K12" s="41">
        <f t="shared" si="2"/>
        <v>44</v>
      </c>
      <c r="L12" s="41">
        <f t="shared" si="3"/>
        <v>7806</v>
      </c>
      <c r="M12" s="42">
        <f t="shared" si="4"/>
        <v>177.4090909090909</v>
      </c>
    </row>
    <row r="13" spans="2:13" ht="18.75">
      <c r="B13" s="37">
        <v>10</v>
      </c>
      <c r="C13" s="38">
        <f>Rezultati!A35</f>
        <v>0</v>
      </c>
      <c r="D13" s="38">
        <f>Rezultati!B35</f>
        <v>0</v>
      </c>
      <c r="E13" s="39">
        <v>32</v>
      </c>
      <c r="F13" s="39">
        <v>5763</v>
      </c>
      <c r="G13" s="40">
        <f t="shared" si="0"/>
        <v>180.09375</v>
      </c>
      <c r="H13" s="41">
        <f>Rezultati!AP35</f>
        <v>28</v>
      </c>
      <c r="I13" s="41">
        <f>Rezultati!AO35</f>
        <v>4823</v>
      </c>
      <c r="J13" s="42">
        <f t="shared" si="1"/>
        <v>172.25</v>
      </c>
      <c r="K13" s="41">
        <f t="shared" si="2"/>
        <v>60</v>
      </c>
      <c r="L13" s="41">
        <f t="shared" si="3"/>
        <v>10586</v>
      </c>
      <c r="M13" s="42">
        <f t="shared" si="4"/>
        <v>176.43333333333334</v>
      </c>
    </row>
    <row r="14" spans="2:13" ht="18.75">
      <c r="B14" s="43">
        <v>11</v>
      </c>
      <c r="C14" s="44">
        <f>Rezultati!A15</f>
        <v>0</v>
      </c>
      <c r="D14" s="44">
        <f>Rezultati!B15</f>
        <v>0</v>
      </c>
      <c r="E14" s="45">
        <v>28</v>
      </c>
      <c r="F14" s="45">
        <v>5136</v>
      </c>
      <c r="G14" s="46">
        <f t="shared" si="0"/>
        <v>183.42857142857142</v>
      </c>
      <c r="H14" s="47">
        <f>Rezultati!AP15</f>
        <v>25</v>
      </c>
      <c r="I14" s="47">
        <f>Rezultati!AO15</f>
        <v>4191</v>
      </c>
      <c r="J14" s="48">
        <f t="shared" si="1"/>
        <v>167.64</v>
      </c>
      <c r="K14" s="47">
        <f t="shared" si="2"/>
        <v>53</v>
      </c>
      <c r="L14" s="47">
        <f t="shared" si="3"/>
        <v>9327</v>
      </c>
      <c r="M14" s="48">
        <f t="shared" si="4"/>
        <v>175.9811320754717</v>
      </c>
    </row>
    <row r="15" spans="2:13" ht="18.75">
      <c r="B15" s="43">
        <v>12</v>
      </c>
      <c r="C15" s="44">
        <f>Rezultati!A42</f>
        <v>0</v>
      </c>
      <c r="D15" s="44">
        <f>Rezultati!B42</f>
        <v>0</v>
      </c>
      <c r="E15" s="45">
        <v>8</v>
      </c>
      <c r="F15" s="45">
        <v>1505</v>
      </c>
      <c r="G15" s="46">
        <f t="shared" si="0"/>
        <v>188.125</v>
      </c>
      <c r="H15" s="47">
        <f>Rezultati!AP42</f>
        <v>24</v>
      </c>
      <c r="I15" s="47">
        <f>Rezultati!AO42</f>
        <v>4119</v>
      </c>
      <c r="J15" s="48">
        <f t="shared" si="1"/>
        <v>171.625</v>
      </c>
      <c r="K15" s="47">
        <f t="shared" si="2"/>
        <v>32</v>
      </c>
      <c r="L15" s="47">
        <f t="shared" si="3"/>
        <v>5624</v>
      </c>
      <c r="M15" s="48">
        <f t="shared" si="4"/>
        <v>175.75</v>
      </c>
    </row>
    <row r="16" spans="2:13" ht="18.75">
      <c r="B16" s="43">
        <v>13</v>
      </c>
      <c r="C16" s="44">
        <f>Rezultati!A30</f>
        <v>0</v>
      </c>
      <c r="D16" s="44">
        <f>Rezultati!B30</f>
        <v>0</v>
      </c>
      <c r="E16" s="45">
        <v>32</v>
      </c>
      <c r="F16" s="45">
        <v>5640</v>
      </c>
      <c r="G16" s="46">
        <f t="shared" si="0"/>
        <v>176.25</v>
      </c>
      <c r="H16" s="47">
        <f>Rezultati!AP30</f>
        <v>28</v>
      </c>
      <c r="I16" s="47">
        <f>Rezultati!AO30</f>
        <v>4886</v>
      </c>
      <c r="J16" s="48">
        <f t="shared" si="1"/>
        <v>174.5</v>
      </c>
      <c r="K16" s="47">
        <f t="shared" si="2"/>
        <v>60</v>
      </c>
      <c r="L16" s="47">
        <f t="shared" si="3"/>
        <v>10526</v>
      </c>
      <c r="M16" s="48">
        <f t="shared" si="4"/>
        <v>175.43333333333334</v>
      </c>
    </row>
    <row r="17" spans="2:13" ht="18.75">
      <c r="B17" s="43">
        <v>14</v>
      </c>
      <c r="C17" s="44">
        <f>Rezultati!A6</f>
        <v>0</v>
      </c>
      <c r="D17" s="44">
        <f>Rezultati!B6</f>
        <v>0</v>
      </c>
      <c r="E17" s="45">
        <v>24</v>
      </c>
      <c r="F17" s="45">
        <v>4029</v>
      </c>
      <c r="G17" s="46">
        <f t="shared" si="0"/>
        <v>167.875</v>
      </c>
      <c r="H17" s="47">
        <f>Rezultati!AP6</f>
        <v>28</v>
      </c>
      <c r="I17" s="47">
        <f>Rezultati!AO6</f>
        <v>4910</v>
      </c>
      <c r="J17" s="48">
        <f t="shared" si="1"/>
        <v>175.35714285714286</v>
      </c>
      <c r="K17" s="47">
        <f t="shared" si="2"/>
        <v>52</v>
      </c>
      <c r="L17" s="47">
        <f t="shared" si="3"/>
        <v>8939</v>
      </c>
      <c r="M17" s="48">
        <f t="shared" si="4"/>
        <v>171.90384615384616</v>
      </c>
    </row>
    <row r="18" spans="2:13" ht="18.75">
      <c r="B18" s="43">
        <v>15</v>
      </c>
      <c r="C18" s="44">
        <f>Rezultati!A40</f>
        <v>0</v>
      </c>
      <c r="D18" s="44">
        <f>Rezultati!B40</f>
        <v>0</v>
      </c>
      <c r="E18" s="45">
        <v>32</v>
      </c>
      <c r="F18" s="45">
        <v>5641</v>
      </c>
      <c r="G18" s="46">
        <f t="shared" si="0"/>
        <v>176.28125</v>
      </c>
      <c r="H18" s="47">
        <f>Rezultati!AP40</f>
        <v>12</v>
      </c>
      <c r="I18" s="47">
        <f>Rezultati!AO40</f>
        <v>1916</v>
      </c>
      <c r="J18" s="48">
        <f t="shared" si="1"/>
        <v>159.66666666666666</v>
      </c>
      <c r="K18" s="47">
        <f t="shared" si="2"/>
        <v>44</v>
      </c>
      <c r="L18" s="47">
        <f t="shared" si="3"/>
        <v>7557</v>
      </c>
      <c r="M18" s="48">
        <f t="shared" si="4"/>
        <v>171.75</v>
      </c>
    </row>
    <row r="19" spans="2:13" ht="18.75">
      <c r="B19" s="43">
        <v>16</v>
      </c>
      <c r="C19" s="44">
        <f>Rezultati!A37</f>
        <v>0</v>
      </c>
      <c r="D19" s="44">
        <f>Rezultati!B37</f>
        <v>0</v>
      </c>
      <c r="E19" s="45">
        <v>32</v>
      </c>
      <c r="F19" s="45">
        <v>5608</v>
      </c>
      <c r="G19" s="46">
        <f t="shared" si="0"/>
        <v>175.25</v>
      </c>
      <c r="H19" s="47">
        <f>Rezultati!AP37</f>
        <v>28</v>
      </c>
      <c r="I19" s="47">
        <f>Rezultati!AO37</f>
        <v>4602</v>
      </c>
      <c r="J19" s="48">
        <f t="shared" si="1"/>
        <v>164.35714285714286</v>
      </c>
      <c r="K19" s="47">
        <f t="shared" si="2"/>
        <v>60</v>
      </c>
      <c r="L19" s="47">
        <f t="shared" si="3"/>
        <v>10210</v>
      </c>
      <c r="M19" s="48">
        <f t="shared" si="4"/>
        <v>170.16666666666666</v>
      </c>
    </row>
    <row r="20" spans="2:13" ht="18.75">
      <c r="B20" s="43">
        <v>17</v>
      </c>
      <c r="C20" s="44">
        <f>Rezultati!A10</f>
        <v>0</v>
      </c>
      <c r="D20" s="44">
        <f>Rezultati!B10</f>
        <v>0</v>
      </c>
      <c r="E20" s="45">
        <v>24</v>
      </c>
      <c r="F20" s="45">
        <v>4193</v>
      </c>
      <c r="G20" s="46">
        <f t="shared" si="0"/>
        <v>174.70833333333334</v>
      </c>
      <c r="H20" s="47">
        <f>Rezultati!AP10</f>
        <v>12</v>
      </c>
      <c r="I20" s="47">
        <f>Rezultati!AO10</f>
        <v>1919</v>
      </c>
      <c r="J20" s="48">
        <f t="shared" si="1"/>
        <v>159.91666666666666</v>
      </c>
      <c r="K20" s="47">
        <f t="shared" si="2"/>
        <v>36</v>
      </c>
      <c r="L20" s="47">
        <f t="shared" si="3"/>
        <v>6112</v>
      </c>
      <c r="M20" s="48">
        <f t="shared" si="4"/>
        <v>169.77777777777777</v>
      </c>
    </row>
    <row r="21" spans="2:13" ht="18.75">
      <c r="B21" s="43">
        <v>18</v>
      </c>
      <c r="C21" s="44">
        <f>Rezultati!A17</f>
        <v>0</v>
      </c>
      <c r="D21" s="44">
        <f>Rezultati!B17</f>
        <v>0</v>
      </c>
      <c r="E21" s="45">
        <v>5</v>
      </c>
      <c r="F21" s="45">
        <v>779</v>
      </c>
      <c r="G21" s="46">
        <f t="shared" si="0"/>
        <v>155.8</v>
      </c>
      <c r="H21" s="47">
        <f>Rezultati!AP17</f>
        <v>16</v>
      </c>
      <c r="I21" s="47">
        <f>Rezultati!AO17</f>
        <v>2756</v>
      </c>
      <c r="J21" s="48">
        <f t="shared" si="1"/>
        <v>172.25</v>
      </c>
      <c r="K21" s="47">
        <f t="shared" si="2"/>
        <v>21</v>
      </c>
      <c r="L21" s="47">
        <f t="shared" si="3"/>
        <v>3535</v>
      </c>
      <c r="M21" s="48">
        <f t="shared" si="4"/>
        <v>168.33333333333334</v>
      </c>
    </row>
    <row r="22" spans="2:13" ht="18.75">
      <c r="B22" s="43">
        <v>19</v>
      </c>
      <c r="C22" s="44">
        <f>Rezultati!A8</f>
        <v>0</v>
      </c>
      <c r="D22" s="44">
        <f>Rezultati!B8</f>
        <v>0</v>
      </c>
      <c r="E22" s="45">
        <v>20</v>
      </c>
      <c r="F22" s="45">
        <v>3457</v>
      </c>
      <c r="G22" s="46">
        <f t="shared" si="0"/>
        <v>172.85</v>
      </c>
      <c r="H22" s="47">
        <f>Rezultati!AP8</f>
        <v>24</v>
      </c>
      <c r="I22" s="47">
        <f>Rezultati!AO8</f>
        <v>3881</v>
      </c>
      <c r="J22" s="48">
        <f t="shared" si="1"/>
        <v>161.70833333333334</v>
      </c>
      <c r="K22" s="47">
        <f t="shared" si="2"/>
        <v>44</v>
      </c>
      <c r="L22" s="47">
        <f t="shared" si="3"/>
        <v>7338</v>
      </c>
      <c r="M22" s="48">
        <f t="shared" si="4"/>
        <v>166.77272727272728</v>
      </c>
    </row>
    <row r="23" spans="2:13" ht="18.75">
      <c r="B23" s="43">
        <v>20</v>
      </c>
      <c r="C23" s="44">
        <f>Rezultati!A25</f>
        <v>0</v>
      </c>
      <c r="D23" s="44">
        <f>Rezultati!B25</f>
        <v>0</v>
      </c>
      <c r="E23" s="45">
        <v>28</v>
      </c>
      <c r="F23" s="45">
        <v>4564</v>
      </c>
      <c r="G23" s="46">
        <f t="shared" si="0"/>
        <v>163</v>
      </c>
      <c r="H23" s="47">
        <f>Rezultati!AP25</f>
        <v>0</v>
      </c>
      <c r="I23" s="47">
        <f>Rezultati!AO25</f>
        <v>0</v>
      </c>
      <c r="J23" s="48" t="e">
        <f t="shared" si="1"/>
        <v>#DIV/0!</v>
      </c>
      <c r="K23" s="47">
        <f t="shared" si="2"/>
        <v>28</v>
      </c>
      <c r="L23" s="47">
        <f t="shared" si="3"/>
        <v>4564</v>
      </c>
      <c r="M23" s="48">
        <f t="shared" si="4"/>
        <v>163</v>
      </c>
    </row>
    <row r="24" spans="2:13" ht="18.75">
      <c r="B24" s="43">
        <v>21</v>
      </c>
      <c r="C24" s="44">
        <f>Rezultati!A36</f>
        <v>0</v>
      </c>
      <c r="D24" s="44">
        <f>Rezultati!B36</f>
        <v>0</v>
      </c>
      <c r="E24" s="45">
        <v>32</v>
      </c>
      <c r="F24" s="45">
        <v>4911</v>
      </c>
      <c r="G24" s="46">
        <f t="shared" si="0"/>
        <v>153.46875</v>
      </c>
      <c r="H24" s="47">
        <f>Rezultati!AP36</f>
        <v>28</v>
      </c>
      <c r="I24" s="47">
        <f>Rezultati!AO36</f>
        <v>4317</v>
      </c>
      <c r="J24" s="48">
        <f t="shared" si="1"/>
        <v>154.17857142857142</v>
      </c>
      <c r="K24" s="47">
        <f t="shared" si="2"/>
        <v>60</v>
      </c>
      <c r="L24" s="47">
        <f t="shared" si="3"/>
        <v>9228</v>
      </c>
      <c r="M24" s="48">
        <f t="shared" si="4"/>
        <v>153.8</v>
      </c>
    </row>
    <row r="25" spans="2:13" ht="18.75">
      <c r="B25" s="43"/>
      <c r="C25" s="44" t="s">
        <v>19</v>
      </c>
      <c r="D25" s="44" t="s">
        <v>20</v>
      </c>
      <c r="E25" s="45">
        <v>4</v>
      </c>
      <c r="F25" s="45">
        <v>795</v>
      </c>
      <c r="G25" s="46">
        <v>198.75</v>
      </c>
      <c r="H25" s="47">
        <v>0</v>
      </c>
      <c r="I25" s="47">
        <v>0</v>
      </c>
      <c r="J25" s="48" t="e">
        <f t="shared" si="1"/>
        <v>#DIV/0!</v>
      </c>
      <c r="K25" s="47">
        <f t="shared" si="2"/>
        <v>4</v>
      </c>
      <c r="L25" s="47">
        <f t="shared" si="3"/>
        <v>795</v>
      </c>
      <c r="M25" s="48">
        <f t="shared" si="4"/>
        <v>198.75</v>
      </c>
    </row>
    <row r="26" spans="2:13" ht="18.75">
      <c r="B26" s="43"/>
      <c r="C26" s="44">
        <f>Rezultati!A18</f>
        <v>0</v>
      </c>
      <c r="D26" s="44">
        <f>Rezultati!B18</f>
        <v>0</v>
      </c>
      <c r="E26" s="45"/>
      <c r="F26" s="45"/>
      <c r="G26" s="46" t="e">
        <f aca="true" t="shared" si="5" ref="G26:G36">F26/E26</f>
        <v>#DIV/0!</v>
      </c>
      <c r="H26" s="47">
        <f>Rezultati!AP18</f>
        <v>4</v>
      </c>
      <c r="I26" s="47">
        <f>Rezultati!AO18</f>
        <v>709</v>
      </c>
      <c r="J26" s="48">
        <f t="shared" si="1"/>
        <v>177.25</v>
      </c>
      <c r="K26" s="47">
        <f t="shared" si="2"/>
        <v>4</v>
      </c>
      <c r="L26" s="47">
        <f t="shared" si="3"/>
        <v>709</v>
      </c>
      <c r="M26" s="48">
        <f t="shared" si="4"/>
        <v>177.25</v>
      </c>
    </row>
    <row r="27" spans="2:13" ht="18.75">
      <c r="B27" s="43"/>
      <c r="C27" s="44">
        <f>Rezultati!A5</f>
        <v>0</v>
      </c>
      <c r="D27" s="44">
        <f>Rezultati!B5</f>
        <v>0</v>
      </c>
      <c r="E27" s="45">
        <v>16</v>
      </c>
      <c r="F27" s="45">
        <v>2809</v>
      </c>
      <c r="G27" s="46">
        <f t="shared" si="5"/>
        <v>175.5625</v>
      </c>
      <c r="H27" s="47">
        <f>Rezultati!AP5</f>
        <v>0</v>
      </c>
      <c r="I27" s="47">
        <f>Rezultati!AO5</f>
        <v>0</v>
      </c>
      <c r="J27" s="48" t="e">
        <f t="shared" si="1"/>
        <v>#DIV/0!</v>
      </c>
      <c r="K27" s="47">
        <f t="shared" si="2"/>
        <v>16</v>
      </c>
      <c r="L27" s="47">
        <f t="shared" si="3"/>
        <v>2809</v>
      </c>
      <c r="M27" s="48">
        <f t="shared" si="4"/>
        <v>175.5625</v>
      </c>
    </row>
    <row r="28" spans="2:13" ht="18.75">
      <c r="B28" s="43"/>
      <c r="C28" s="44">
        <f>Rezultati!A7</f>
        <v>0</v>
      </c>
      <c r="D28" s="44">
        <f>Rezultati!B7</f>
        <v>0</v>
      </c>
      <c r="E28" s="45">
        <v>0</v>
      </c>
      <c r="F28" s="45">
        <v>0</v>
      </c>
      <c r="G28" s="46" t="e">
        <f t="shared" si="5"/>
        <v>#DIV/0!</v>
      </c>
      <c r="H28" s="47">
        <f>Rezultati!AP7</f>
        <v>4</v>
      </c>
      <c r="I28" s="47">
        <f>Rezultati!AO7</f>
        <v>642</v>
      </c>
      <c r="J28" s="48">
        <f t="shared" si="1"/>
        <v>160.5</v>
      </c>
      <c r="K28" s="47">
        <f t="shared" si="2"/>
        <v>4</v>
      </c>
      <c r="L28" s="47">
        <f t="shared" si="3"/>
        <v>642</v>
      </c>
      <c r="M28" s="48">
        <f t="shared" si="4"/>
        <v>160.5</v>
      </c>
    </row>
    <row r="29" spans="2:13" ht="18.75">
      <c r="B29" s="43"/>
      <c r="C29" s="44">
        <f>Rezultati!A33</f>
        <v>0</v>
      </c>
      <c r="D29" s="44">
        <f>Rezultati!B33</f>
        <v>0</v>
      </c>
      <c r="E29" s="45">
        <v>4</v>
      </c>
      <c r="F29" s="45">
        <v>638</v>
      </c>
      <c r="G29" s="46">
        <f t="shared" si="5"/>
        <v>159.5</v>
      </c>
      <c r="H29" s="47">
        <f>Rezultati!AP33</f>
        <v>0</v>
      </c>
      <c r="I29" s="47">
        <f>Rezultati!AO33</f>
        <v>0</v>
      </c>
      <c r="J29" s="48" t="e">
        <f t="shared" si="1"/>
        <v>#DIV/0!</v>
      </c>
      <c r="K29" s="47">
        <f t="shared" si="2"/>
        <v>4</v>
      </c>
      <c r="L29" s="47">
        <f t="shared" si="3"/>
        <v>638</v>
      </c>
      <c r="M29" s="48">
        <f t="shared" si="4"/>
        <v>159.5</v>
      </c>
    </row>
    <row r="30" spans="2:13" ht="18.75">
      <c r="B30" s="43"/>
      <c r="C30" s="44">
        <f>Rezultati!A13</f>
        <v>0</v>
      </c>
      <c r="D30" s="44">
        <f>Rezultati!B13</f>
        <v>0</v>
      </c>
      <c r="E30" s="45"/>
      <c r="F30" s="45"/>
      <c r="G30" s="46" t="e">
        <f t="shared" si="5"/>
        <v>#DIV/0!</v>
      </c>
      <c r="H30" s="47">
        <f>Rezultati!AP13</f>
        <v>4</v>
      </c>
      <c r="I30" s="47">
        <f>Rezultati!AO13</f>
        <v>550</v>
      </c>
      <c r="J30" s="48">
        <f t="shared" si="1"/>
        <v>137.5</v>
      </c>
      <c r="K30" s="47">
        <f t="shared" si="2"/>
        <v>4</v>
      </c>
      <c r="L30" s="47">
        <f t="shared" si="3"/>
        <v>550</v>
      </c>
      <c r="M30" s="48">
        <f t="shared" si="4"/>
        <v>137.5</v>
      </c>
    </row>
    <row r="31" spans="2:13" ht="18.75">
      <c r="B31" s="43"/>
      <c r="C31" s="44">
        <f>Rezultati!A43</f>
        <v>0</v>
      </c>
      <c r="D31" s="44">
        <f>Rezultati!B43</f>
        <v>0</v>
      </c>
      <c r="E31" s="45"/>
      <c r="F31" s="45"/>
      <c r="G31" s="46" t="e">
        <f t="shared" si="5"/>
        <v>#DIV/0!</v>
      </c>
      <c r="H31" s="47">
        <f>Rezultati!AP43</f>
        <v>0</v>
      </c>
      <c r="I31" s="47">
        <f>Rezultati!AO43</f>
        <v>0</v>
      </c>
      <c r="J31" s="48" t="e">
        <f t="shared" si="1"/>
        <v>#DIV/0!</v>
      </c>
      <c r="K31" s="47">
        <f t="shared" si="2"/>
        <v>0</v>
      </c>
      <c r="L31" s="47">
        <f t="shared" si="3"/>
        <v>0</v>
      </c>
      <c r="M31" s="48" t="e">
        <f t="shared" si="4"/>
        <v>#DIV/0!</v>
      </c>
    </row>
    <row r="32" spans="2:13" ht="18.75">
      <c r="B32" s="43"/>
      <c r="C32" s="44">
        <f>Rezultati!A23</f>
        <v>0</v>
      </c>
      <c r="D32" s="44">
        <f>Rezultati!B23</f>
        <v>0</v>
      </c>
      <c r="E32" s="45"/>
      <c r="F32" s="45"/>
      <c r="G32" s="46" t="e">
        <f t="shared" si="5"/>
        <v>#DIV/0!</v>
      </c>
      <c r="H32" s="47">
        <f>Rezultati!AP23</f>
        <v>0</v>
      </c>
      <c r="I32" s="47">
        <f>Rezultati!AO23</f>
        <v>0</v>
      </c>
      <c r="J32" s="48" t="e">
        <f t="shared" si="1"/>
        <v>#DIV/0!</v>
      </c>
      <c r="K32" s="47">
        <f t="shared" si="2"/>
        <v>0</v>
      </c>
      <c r="L32" s="47">
        <f t="shared" si="3"/>
        <v>0</v>
      </c>
      <c r="M32" s="48" t="e">
        <f t="shared" si="4"/>
        <v>#DIV/0!</v>
      </c>
    </row>
    <row r="33" spans="2:13" ht="18.75">
      <c r="B33" s="43"/>
      <c r="C33" s="44">
        <f>Rezultati!A28</f>
        <v>0</v>
      </c>
      <c r="D33" s="44">
        <f>Rezultati!B28</f>
        <v>0</v>
      </c>
      <c r="E33" s="45"/>
      <c r="F33" s="45"/>
      <c r="G33" s="46" t="e">
        <f t="shared" si="5"/>
        <v>#DIV/0!</v>
      </c>
      <c r="H33" s="47">
        <f>Rezultati!AP28</f>
        <v>0</v>
      </c>
      <c r="I33" s="47">
        <f>Rezultati!AO28</f>
        <v>0</v>
      </c>
      <c r="J33" s="48" t="e">
        <f t="shared" si="1"/>
        <v>#DIV/0!</v>
      </c>
      <c r="K33" s="47">
        <f t="shared" si="2"/>
        <v>0</v>
      </c>
      <c r="L33" s="47">
        <f t="shared" si="3"/>
        <v>0</v>
      </c>
      <c r="M33" s="48" t="e">
        <f t="shared" si="4"/>
        <v>#DIV/0!</v>
      </c>
    </row>
    <row r="34" spans="2:13" ht="18.75">
      <c r="B34" s="43"/>
      <c r="C34" s="44">
        <f>Rezultati!A29</f>
        <v>0</v>
      </c>
      <c r="D34" s="44">
        <f>Rezultati!B29</f>
        <v>0</v>
      </c>
      <c r="E34" s="45"/>
      <c r="F34" s="45"/>
      <c r="G34" s="46" t="e">
        <f t="shared" si="5"/>
        <v>#DIV/0!</v>
      </c>
      <c r="H34" s="47">
        <f>Rezultati!AP29</f>
        <v>0</v>
      </c>
      <c r="I34" s="47">
        <f>Rezultati!AO29</f>
        <v>0</v>
      </c>
      <c r="J34" s="48" t="e">
        <f t="shared" si="1"/>
        <v>#DIV/0!</v>
      </c>
      <c r="K34" s="47">
        <f t="shared" si="2"/>
        <v>0</v>
      </c>
      <c r="L34" s="47">
        <f t="shared" si="3"/>
        <v>0</v>
      </c>
      <c r="M34" s="48" t="e">
        <f t="shared" si="4"/>
        <v>#DIV/0!</v>
      </c>
    </row>
    <row r="35" spans="2:13" ht="18.75">
      <c r="B35" s="43"/>
      <c r="C35" s="44">
        <f>Rezultati!A39</f>
        <v>0</v>
      </c>
      <c r="D35" s="44">
        <f>Rezultati!B39</f>
        <v>0</v>
      </c>
      <c r="E35" s="45"/>
      <c r="F35" s="45"/>
      <c r="G35" s="46" t="e">
        <f t="shared" si="5"/>
        <v>#DIV/0!</v>
      </c>
      <c r="H35" s="47">
        <f>Rezultati!AP39</f>
        <v>0</v>
      </c>
      <c r="I35" s="47">
        <f>Rezultati!AO39</f>
        <v>0</v>
      </c>
      <c r="J35" s="48" t="e">
        <f t="shared" si="1"/>
        <v>#DIV/0!</v>
      </c>
      <c r="K35" s="47">
        <f t="shared" si="2"/>
        <v>0</v>
      </c>
      <c r="L35" s="47">
        <f t="shared" si="3"/>
        <v>0</v>
      </c>
      <c r="M35" s="48" t="e">
        <f t="shared" si="4"/>
        <v>#DIV/0!</v>
      </c>
    </row>
    <row r="36" spans="2:13" ht="18.75">
      <c r="B36" s="43"/>
      <c r="C36" s="44">
        <f>Rezultati!A38</f>
        <v>0</v>
      </c>
      <c r="D36" s="44">
        <f>Rezultati!B38</f>
        <v>0</v>
      </c>
      <c r="E36" s="45"/>
      <c r="F36" s="45"/>
      <c r="G36" s="46" t="e">
        <f t="shared" si="5"/>
        <v>#DIV/0!</v>
      </c>
      <c r="H36" s="47">
        <f>Rezultati!AP38</f>
        <v>0</v>
      </c>
      <c r="I36" s="47">
        <f>Rezultati!AO38</f>
        <v>0</v>
      </c>
      <c r="J36" s="48" t="e">
        <f t="shared" si="1"/>
        <v>#DIV/0!</v>
      </c>
      <c r="K36" s="47">
        <f t="shared" si="2"/>
        <v>0</v>
      </c>
      <c r="L36" s="47">
        <f t="shared" si="3"/>
        <v>0</v>
      </c>
      <c r="M36" s="48" t="e">
        <f t="shared" si="4"/>
        <v>#DIV/0!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"/>
  <sheetViews>
    <sheetView zoomScale="85" zoomScaleNormal="85" workbookViewId="0" topLeftCell="A1">
      <selection activeCell="J17" sqref="J17"/>
    </sheetView>
  </sheetViews>
  <sheetFormatPr defaultColWidth="9.140625" defaultRowHeight="12.75"/>
  <cols>
    <col min="1" max="1" width="28.57421875" style="49" customWidth="1"/>
    <col min="2" max="23" width="5.7109375" style="50" customWidth="1"/>
    <col min="24" max="25" width="5.57421875" style="50" customWidth="1"/>
    <col min="26" max="33" width="5.7109375" style="50" customWidth="1"/>
    <col min="34" max="37" width="0" style="50" hidden="1" customWidth="1"/>
    <col min="38" max="38" width="25.421875" style="49" customWidth="1"/>
    <col min="39" max="254" width="9.140625" style="50" customWidth="1"/>
  </cols>
  <sheetData>
    <row r="1" spans="22:37" ht="12.75"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8" ht="12.75">
      <c r="A2" s="52"/>
      <c r="B2" s="53">
        <f>Punkti!A5</f>
        <v>0</v>
      </c>
      <c r="C2" s="53"/>
      <c r="D2" s="53"/>
      <c r="E2" s="53"/>
      <c r="F2" s="53">
        <f>Punkti!A8</f>
        <v>0</v>
      </c>
      <c r="G2" s="53"/>
      <c r="H2" s="53"/>
      <c r="I2" s="53"/>
      <c r="J2" s="53">
        <f>Punkti!A11</f>
        <v>0</v>
      </c>
      <c r="K2" s="53"/>
      <c r="L2" s="53"/>
      <c r="M2" s="53"/>
      <c r="N2" s="53">
        <f>Punkti!A14</f>
        <v>0</v>
      </c>
      <c r="O2" s="53"/>
      <c r="P2" s="53"/>
      <c r="Q2" s="53"/>
      <c r="R2" s="53">
        <f>Punkti!A17</f>
        <v>0</v>
      </c>
      <c r="S2" s="53"/>
      <c r="T2" s="53"/>
      <c r="U2" s="53"/>
      <c r="V2" s="54">
        <f>Punkti!A20</f>
        <v>0</v>
      </c>
      <c r="W2" s="54"/>
      <c r="X2" s="54"/>
      <c r="Y2" s="54"/>
      <c r="Z2" s="54">
        <f>Punkti!A23</f>
        <v>0</v>
      </c>
      <c r="AA2" s="54"/>
      <c r="AB2" s="54"/>
      <c r="AC2" s="54"/>
      <c r="AD2" s="54">
        <f>Punkti!A26</f>
        <v>0</v>
      </c>
      <c r="AE2" s="54"/>
      <c r="AF2" s="54"/>
      <c r="AG2" s="54"/>
      <c r="AH2" s="55">
        <f>Punkti!A29</f>
        <v>0</v>
      </c>
      <c r="AI2" s="55"/>
      <c r="AJ2" s="55"/>
      <c r="AK2" s="55"/>
      <c r="AL2" s="52"/>
    </row>
    <row r="3" spans="1:38" ht="12.75">
      <c r="A3" s="52"/>
      <c r="B3" s="53" t="s">
        <v>5</v>
      </c>
      <c r="C3" s="53"/>
      <c r="D3" s="53"/>
      <c r="E3" s="53"/>
      <c r="F3" s="53" t="s">
        <v>5</v>
      </c>
      <c r="G3" s="53"/>
      <c r="H3" s="53"/>
      <c r="I3" s="53"/>
      <c r="J3" s="53" t="s">
        <v>5</v>
      </c>
      <c r="K3" s="53"/>
      <c r="L3" s="53"/>
      <c r="M3" s="53"/>
      <c r="N3" s="53" t="s">
        <v>5</v>
      </c>
      <c r="O3" s="53"/>
      <c r="P3" s="53"/>
      <c r="Q3" s="53"/>
      <c r="R3" s="53" t="s">
        <v>5</v>
      </c>
      <c r="S3" s="53"/>
      <c r="T3" s="53"/>
      <c r="U3" s="53"/>
      <c r="V3" s="54" t="s">
        <v>5</v>
      </c>
      <c r="W3" s="54"/>
      <c r="X3" s="54"/>
      <c r="Y3" s="54"/>
      <c r="Z3" s="54" t="s">
        <v>5</v>
      </c>
      <c r="AA3" s="54"/>
      <c r="AB3" s="54"/>
      <c r="AC3" s="54"/>
      <c r="AD3" s="54" t="s">
        <v>5</v>
      </c>
      <c r="AE3" s="54"/>
      <c r="AF3" s="54"/>
      <c r="AG3" s="54"/>
      <c r="AH3" s="55" t="s">
        <v>5</v>
      </c>
      <c r="AI3" s="55"/>
      <c r="AJ3" s="55"/>
      <c r="AK3" s="55"/>
      <c r="AL3" s="52"/>
    </row>
    <row r="4" spans="1:40" ht="14.25">
      <c r="A4" s="52"/>
      <c r="B4" s="56" t="s">
        <v>21</v>
      </c>
      <c r="C4" s="56" t="s">
        <v>22</v>
      </c>
      <c r="D4" s="56" t="s">
        <v>23</v>
      </c>
      <c r="E4" s="56" t="s">
        <v>24</v>
      </c>
      <c r="F4" s="56" t="s">
        <v>21</v>
      </c>
      <c r="G4" s="56" t="s">
        <v>22</v>
      </c>
      <c r="H4" s="56" t="s">
        <v>23</v>
      </c>
      <c r="I4" s="56" t="s">
        <v>24</v>
      </c>
      <c r="J4" s="56" t="s">
        <v>21</v>
      </c>
      <c r="K4" s="56" t="s">
        <v>22</v>
      </c>
      <c r="L4" s="56" t="s">
        <v>23</v>
      </c>
      <c r="M4" s="56" t="s">
        <v>24</v>
      </c>
      <c r="N4" s="56" t="s">
        <v>21</v>
      </c>
      <c r="O4" s="56" t="s">
        <v>22</v>
      </c>
      <c r="P4" s="56" t="s">
        <v>23</v>
      </c>
      <c r="Q4" s="56" t="s">
        <v>24</v>
      </c>
      <c r="R4" s="56" t="s">
        <v>21</v>
      </c>
      <c r="S4" s="56" t="s">
        <v>22</v>
      </c>
      <c r="T4" s="56" t="s">
        <v>23</v>
      </c>
      <c r="U4" s="56" t="s">
        <v>24</v>
      </c>
      <c r="V4" s="56" t="s">
        <v>21</v>
      </c>
      <c r="W4" s="56" t="s">
        <v>22</v>
      </c>
      <c r="X4" s="56" t="s">
        <v>23</v>
      </c>
      <c r="Y4" s="56" t="s">
        <v>24</v>
      </c>
      <c r="Z4" s="56" t="s">
        <v>21</v>
      </c>
      <c r="AA4" s="56" t="s">
        <v>22</v>
      </c>
      <c r="AB4" s="56" t="s">
        <v>23</v>
      </c>
      <c r="AC4" s="56" t="s">
        <v>24</v>
      </c>
      <c r="AD4" s="56" t="s">
        <v>21</v>
      </c>
      <c r="AE4" s="56" t="s">
        <v>22</v>
      </c>
      <c r="AF4" s="56" t="s">
        <v>23</v>
      </c>
      <c r="AG4" s="56" t="s">
        <v>24</v>
      </c>
      <c r="AH4" s="56" t="s">
        <v>21</v>
      </c>
      <c r="AI4" s="56" t="s">
        <v>22</v>
      </c>
      <c r="AJ4" s="56" t="s">
        <v>23</v>
      </c>
      <c r="AK4" s="56" t="s">
        <v>24</v>
      </c>
      <c r="AL4" s="52"/>
      <c r="AM4" s="57" t="s">
        <v>25</v>
      </c>
      <c r="AN4" s="57" t="s">
        <v>26</v>
      </c>
    </row>
    <row r="5" spans="1:41" ht="14.25">
      <c r="A5" s="58" t="s">
        <v>19</v>
      </c>
      <c r="B5" s="59"/>
      <c r="C5" s="60"/>
      <c r="D5" s="60"/>
      <c r="E5" s="61"/>
      <c r="F5" s="62">
        <v>0</v>
      </c>
      <c r="G5" s="63">
        <v>2</v>
      </c>
      <c r="H5" s="63">
        <v>0</v>
      </c>
      <c r="I5" s="63">
        <v>2</v>
      </c>
      <c r="J5" s="62">
        <v>2</v>
      </c>
      <c r="K5" s="63">
        <v>0</v>
      </c>
      <c r="L5" s="63">
        <v>0</v>
      </c>
      <c r="M5" s="63">
        <v>0</v>
      </c>
      <c r="N5" s="62">
        <v>2</v>
      </c>
      <c r="O5" s="63">
        <v>2</v>
      </c>
      <c r="P5" s="63">
        <v>2</v>
      </c>
      <c r="Q5" s="63">
        <v>0</v>
      </c>
      <c r="R5" s="62">
        <v>2</v>
      </c>
      <c r="S5" s="63">
        <v>0</v>
      </c>
      <c r="T5" s="63">
        <v>2</v>
      </c>
      <c r="U5" s="63">
        <v>2</v>
      </c>
      <c r="V5" s="62">
        <v>2</v>
      </c>
      <c r="W5" s="63">
        <v>2</v>
      </c>
      <c r="X5" s="63">
        <v>2</v>
      </c>
      <c r="Y5" s="63">
        <v>0</v>
      </c>
      <c r="Z5" s="62">
        <v>0</v>
      </c>
      <c r="AA5" s="63">
        <v>2</v>
      </c>
      <c r="AB5" s="63">
        <v>2</v>
      </c>
      <c r="AC5" s="63">
        <v>0</v>
      </c>
      <c r="AD5" s="62">
        <v>0</v>
      </c>
      <c r="AE5" s="63">
        <v>0</v>
      </c>
      <c r="AF5" s="63">
        <v>2</v>
      </c>
      <c r="AG5" s="63">
        <v>2</v>
      </c>
      <c r="AH5" s="62"/>
      <c r="AI5" s="63"/>
      <c r="AJ5" s="63"/>
      <c r="AK5" s="63"/>
      <c r="AL5" s="64">
        <f>Punkti!A5</f>
        <v>0</v>
      </c>
      <c r="AM5" s="65">
        <f>SUM(Punkti!B5:AK5)</f>
        <v>32</v>
      </c>
      <c r="AN5" s="65">
        <f>SUM(Punkti!B6:AK6)</f>
        <v>8</v>
      </c>
      <c r="AO5" s="66"/>
    </row>
    <row r="6" spans="1:41" ht="14.25">
      <c r="A6" s="58"/>
      <c r="B6" s="67"/>
      <c r="C6" s="68"/>
      <c r="D6" s="68"/>
      <c r="E6" s="69"/>
      <c r="F6" s="70"/>
      <c r="G6" s="71"/>
      <c r="H6" s="71"/>
      <c r="I6" s="71">
        <v>2</v>
      </c>
      <c r="J6" s="70"/>
      <c r="K6" s="71"/>
      <c r="L6" s="71"/>
      <c r="M6" s="71">
        <v>0</v>
      </c>
      <c r="N6" s="70"/>
      <c r="O6" s="71"/>
      <c r="P6" s="71"/>
      <c r="Q6" s="71">
        <v>2</v>
      </c>
      <c r="R6" s="70"/>
      <c r="S6" s="71"/>
      <c r="T6" s="71"/>
      <c r="U6" s="71">
        <v>0</v>
      </c>
      <c r="V6" s="70"/>
      <c r="W6" s="71"/>
      <c r="X6" s="71"/>
      <c r="Y6" s="71">
        <v>2</v>
      </c>
      <c r="Z6" s="70"/>
      <c r="AA6" s="71"/>
      <c r="AB6" s="71"/>
      <c r="AC6" s="71">
        <v>2</v>
      </c>
      <c r="AD6" s="70"/>
      <c r="AE6" s="71"/>
      <c r="AF6" s="71"/>
      <c r="AG6" s="71">
        <v>0</v>
      </c>
      <c r="AH6" s="70"/>
      <c r="AI6" s="71"/>
      <c r="AJ6" s="71"/>
      <c r="AK6" s="71"/>
      <c r="AL6" s="64"/>
      <c r="AM6" s="65"/>
      <c r="AN6" s="65"/>
      <c r="AO6" s="66"/>
    </row>
    <row r="7" spans="1:41" ht="14.25">
      <c r="A7" s="58"/>
      <c r="B7" s="72"/>
      <c r="C7" s="73"/>
      <c r="D7" s="73"/>
      <c r="E7" s="74"/>
      <c r="F7" s="75">
        <v>2041</v>
      </c>
      <c r="G7" s="76"/>
      <c r="H7" s="76"/>
      <c r="I7" s="76"/>
      <c r="J7" s="75">
        <v>2032</v>
      </c>
      <c r="K7" s="76"/>
      <c r="L7" s="76"/>
      <c r="M7" s="76"/>
      <c r="N7" s="75">
        <f>523+510+499+476</f>
        <v>2008</v>
      </c>
      <c r="O7" s="76"/>
      <c r="P7" s="76"/>
      <c r="Q7" s="76"/>
      <c r="R7" s="75">
        <f>504+501+532+560</f>
        <v>2097</v>
      </c>
      <c r="S7" s="76"/>
      <c r="T7" s="76"/>
      <c r="U7" s="76"/>
      <c r="V7" s="75">
        <v>2068</v>
      </c>
      <c r="W7" s="76"/>
      <c r="X7" s="76"/>
      <c r="Y7" s="76"/>
      <c r="Z7" s="75">
        <v>2017</v>
      </c>
      <c r="AA7" s="76"/>
      <c r="AB7" s="76"/>
      <c r="AC7" s="76"/>
      <c r="AD7" s="75">
        <f>500+462+513+533</f>
        <v>2008</v>
      </c>
      <c r="AE7" s="76"/>
      <c r="AF7" s="76"/>
      <c r="AG7" s="76"/>
      <c r="AH7" s="75"/>
      <c r="AI7" s="76"/>
      <c r="AJ7" s="76"/>
      <c r="AK7" s="76"/>
      <c r="AL7" s="64"/>
      <c r="AM7" s="65">
        <f>Punkti!B7+Punkti!F7+Punkti!J7+Punkti!N7+Punkti!R7+Punkti!V7+Punkti!Z7+Punkti!AD7+Punkti!AH7</f>
        <v>14271</v>
      </c>
      <c r="AN7" s="65"/>
      <c r="AO7" s="66"/>
    </row>
    <row r="8" spans="1:41" ht="14.25">
      <c r="A8" s="58" t="s">
        <v>27</v>
      </c>
      <c r="B8" s="62">
        <v>2</v>
      </c>
      <c r="C8" s="63">
        <v>0</v>
      </c>
      <c r="D8" s="63">
        <v>2</v>
      </c>
      <c r="E8" s="63">
        <v>0</v>
      </c>
      <c r="F8" s="59"/>
      <c r="G8" s="77"/>
      <c r="H8" s="77"/>
      <c r="I8" s="77"/>
      <c r="J8" s="62">
        <v>0</v>
      </c>
      <c r="K8" s="63">
        <v>0</v>
      </c>
      <c r="L8" s="63">
        <v>0</v>
      </c>
      <c r="M8" s="63">
        <v>0</v>
      </c>
      <c r="N8" s="62">
        <v>0</v>
      </c>
      <c r="O8" s="63">
        <v>0</v>
      </c>
      <c r="P8" s="63">
        <v>0</v>
      </c>
      <c r="Q8" s="63">
        <v>0</v>
      </c>
      <c r="R8" s="62">
        <v>0</v>
      </c>
      <c r="S8" s="63">
        <v>2</v>
      </c>
      <c r="T8" s="63">
        <v>2</v>
      </c>
      <c r="U8" s="63">
        <v>0</v>
      </c>
      <c r="V8" s="78">
        <v>2</v>
      </c>
      <c r="W8" s="79">
        <v>0</v>
      </c>
      <c r="X8" s="79">
        <v>1</v>
      </c>
      <c r="Y8" s="79">
        <v>0</v>
      </c>
      <c r="Z8" s="62">
        <v>2</v>
      </c>
      <c r="AA8" s="63">
        <v>2</v>
      </c>
      <c r="AB8" s="63">
        <v>2</v>
      </c>
      <c r="AC8" s="63">
        <v>0</v>
      </c>
      <c r="AD8" s="62">
        <v>0</v>
      </c>
      <c r="AE8" s="63">
        <v>0</v>
      </c>
      <c r="AF8" s="63">
        <v>0</v>
      </c>
      <c r="AG8" s="63">
        <v>2</v>
      </c>
      <c r="AH8" s="62"/>
      <c r="AI8" s="63"/>
      <c r="AJ8" s="63"/>
      <c r="AK8" s="63"/>
      <c r="AL8" s="64">
        <f>Punkti!A8</f>
        <v>0</v>
      </c>
      <c r="AM8" s="65">
        <f>SUM(Punkti!B8:AK8)</f>
        <v>19</v>
      </c>
      <c r="AN8" s="65">
        <f>SUM(Punkti!B9:AK9)</f>
        <v>4</v>
      </c>
      <c r="AO8" s="66"/>
    </row>
    <row r="9" spans="1:41" ht="14.25">
      <c r="A9" s="58"/>
      <c r="B9" s="70"/>
      <c r="C9" s="71"/>
      <c r="D9" s="71"/>
      <c r="E9" s="71">
        <v>0</v>
      </c>
      <c r="F9" s="67"/>
      <c r="G9" s="68"/>
      <c r="H9" s="68"/>
      <c r="I9" s="68"/>
      <c r="J9" s="70"/>
      <c r="K9" s="71"/>
      <c r="L9" s="71"/>
      <c r="M9" s="71">
        <v>0</v>
      </c>
      <c r="N9" s="70"/>
      <c r="O9" s="71"/>
      <c r="P9" s="71"/>
      <c r="Q9" s="71">
        <v>0</v>
      </c>
      <c r="R9" s="70"/>
      <c r="S9" s="71"/>
      <c r="T9" s="71"/>
      <c r="U9" s="71">
        <v>2</v>
      </c>
      <c r="V9" s="80"/>
      <c r="W9" s="81"/>
      <c r="X9" s="81"/>
      <c r="Y9" s="81">
        <v>0</v>
      </c>
      <c r="Z9" s="70"/>
      <c r="AA9" s="71"/>
      <c r="AB9" s="71"/>
      <c r="AC9" s="71">
        <v>2</v>
      </c>
      <c r="AD9" s="70"/>
      <c r="AE9" s="71"/>
      <c r="AF9" s="71"/>
      <c r="AG9" s="71">
        <v>0</v>
      </c>
      <c r="AH9" s="70"/>
      <c r="AI9" s="71"/>
      <c r="AJ9" s="71"/>
      <c r="AK9" s="71"/>
      <c r="AL9" s="64"/>
      <c r="AM9" s="65"/>
      <c r="AN9" s="65"/>
      <c r="AO9" s="66"/>
    </row>
    <row r="10" spans="1:41" ht="14.25">
      <c r="A10" s="58"/>
      <c r="B10" s="75">
        <v>2004</v>
      </c>
      <c r="C10" s="76"/>
      <c r="D10" s="76"/>
      <c r="E10" s="76"/>
      <c r="F10" s="72"/>
      <c r="G10" s="73"/>
      <c r="H10" s="73"/>
      <c r="I10" s="73"/>
      <c r="J10" s="75">
        <v>1896</v>
      </c>
      <c r="K10" s="76"/>
      <c r="L10" s="76"/>
      <c r="M10" s="76"/>
      <c r="N10" s="75">
        <v>2079</v>
      </c>
      <c r="O10" s="76"/>
      <c r="P10" s="76"/>
      <c r="Q10" s="76"/>
      <c r="R10" s="75">
        <v>1922</v>
      </c>
      <c r="S10" s="76"/>
      <c r="T10" s="76"/>
      <c r="U10" s="76"/>
      <c r="V10" s="82">
        <v>1805</v>
      </c>
      <c r="W10" s="83"/>
      <c r="X10" s="83"/>
      <c r="Y10" s="83"/>
      <c r="Z10" s="75">
        <v>2041</v>
      </c>
      <c r="AA10" s="76"/>
      <c r="AB10" s="76"/>
      <c r="AC10" s="76"/>
      <c r="AD10" s="75">
        <v>1916</v>
      </c>
      <c r="AE10" s="76"/>
      <c r="AF10" s="76"/>
      <c r="AG10" s="76"/>
      <c r="AH10" s="75"/>
      <c r="AI10" s="76"/>
      <c r="AJ10" s="76"/>
      <c r="AK10" s="76"/>
      <c r="AL10" s="64"/>
      <c r="AM10" s="65">
        <f>Punkti!B10+Punkti!F10+Punkti!J10+Punkti!N10+Punkti!R10+Punkti!V10+Punkti!Z10+Punkti!AD10+Punkti!AH10</f>
        <v>13663</v>
      </c>
      <c r="AN10" s="65"/>
      <c r="AO10" s="66"/>
    </row>
    <row r="11" spans="1:41" ht="14.25">
      <c r="A11" s="58" t="s">
        <v>28</v>
      </c>
      <c r="B11" s="62">
        <v>0</v>
      </c>
      <c r="C11" s="63">
        <v>2</v>
      </c>
      <c r="D11" s="63">
        <v>2</v>
      </c>
      <c r="E11" s="63">
        <v>2</v>
      </c>
      <c r="F11" s="62">
        <v>2</v>
      </c>
      <c r="G11" s="63">
        <v>2</v>
      </c>
      <c r="H11" s="63">
        <v>2</v>
      </c>
      <c r="I11" s="63">
        <v>2</v>
      </c>
      <c r="J11" s="59"/>
      <c r="K11" s="77"/>
      <c r="L11" s="77"/>
      <c r="M11" s="77"/>
      <c r="N11" s="62">
        <v>2</v>
      </c>
      <c r="O11" s="63">
        <v>2</v>
      </c>
      <c r="P11" s="63">
        <v>0</v>
      </c>
      <c r="Q11" s="63">
        <v>0</v>
      </c>
      <c r="R11" s="62">
        <v>0</v>
      </c>
      <c r="S11" s="63">
        <v>0</v>
      </c>
      <c r="T11" s="63">
        <v>0</v>
      </c>
      <c r="U11" s="63">
        <v>2</v>
      </c>
      <c r="V11" s="62">
        <v>2</v>
      </c>
      <c r="W11" s="63">
        <v>2</v>
      </c>
      <c r="X11" s="63">
        <v>2</v>
      </c>
      <c r="Y11" s="63">
        <v>2</v>
      </c>
      <c r="Z11" s="62">
        <v>2</v>
      </c>
      <c r="AA11" s="63">
        <v>2</v>
      </c>
      <c r="AB11" s="63">
        <v>2</v>
      </c>
      <c r="AC11" s="63">
        <v>2</v>
      </c>
      <c r="AD11" s="62">
        <v>2</v>
      </c>
      <c r="AE11" s="63">
        <v>0</v>
      </c>
      <c r="AF11" s="63">
        <v>0</v>
      </c>
      <c r="AG11" s="63">
        <v>2</v>
      </c>
      <c r="AH11" s="62"/>
      <c r="AI11" s="63"/>
      <c r="AJ11" s="63"/>
      <c r="AK11" s="63"/>
      <c r="AL11" s="64">
        <f>Punkti!A11</f>
        <v>0</v>
      </c>
      <c r="AM11" s="65">
        <f>SUM(Punkti!B11:AK11)</f>
        <v>40</v>
      </c>
      <c r="AN11" s="65">
        <f>SUM(Punkti!B12:AK12)</f>
        <v>8</v>
      </c>
      <c r="AO11" s="66"/>
    </row>
    <row r="12" spans="1:41" ht="14.25">
      <c r="A12" s="58"/>
      <c r="B12" s="70"/>
      <c r="C12" s="71"/>
      <c r="D12" s="71"/>
      <c r="E12" s="71">
        <v>2</v>
      </c>
      <c r="F12" s="70"/>
      <c r="G12" s="71"/>
      <c r="H12" s="71"/>
      <c r="I12" s="71">
        <v>2</v>
      </c>
      <c r="J12" s="67"/>
      <c r="K12" s="68"/>
      <c r="L12" s="68"/>
      <c r="M12" s="68"/>
      <c r="N12" s="70"/>
      <c r="O12" s="71"/>
      <c r="P12" s="71"/>
      <c r="Q12" s="71">
        <v>0</v>
      </c>
      <c r="R12" s="70"/>
      <c r="S12" s="71"/>
      <c r="T12" s="71"/>
      <c r="U12" s="71">
        <v>0</v>
      </c>
      <c r="V12" s="70"/>
      <c r="W12" s="71"/>
      <c r="X12" s="71"/>
      <c r="Y12" s="71">
        <v>2</v>
      </c>
      <c r="Z12" s="70"/>
      <c r="AA12" s="71"/>
      <c r="AB12" s="71"/>
      <c r="AC12" s="71">
        <v>2</v>
      </c>
      <c r="AD12" s="70"/>
      <c r="AE12" s="71"/>
      <c r="AF12" s="71"/>
      <c r="AG12" s="71">
        <v>0</v>
      </c>
      <c r="AH12" s="70"/>
      <c r="AI12" s="71"/>
      <c r="AJ12" s="71"/>
      <c r="AK12" s="71"/>
      <c r="AL12" s="64"/>
      <c r="AM12" s="65"/>
      <c r="AN12" s="65"/>
      <c r="AO12" s="66"/>
    </row>
    <row r="13" spans="1:41" ht="14.25">
      <c r="A13" s="58"/>
      <c r="B13" s="75">
        <v>2043</v>
      </c>
      <c r="C13" s="76"/>
      <c r="D13" s="76"/>
      <c r="E13" s="76"/>
      <c r="F13" s="75">
        <v>2099</v>
      </c>
      <c r="G13" s="76"/>
      <c r="H13" s="76"/>
      <c r="I13" s="76"/>
      <c r="J13" s="72"/>
      <c r="K13" s="73"/>
      <c r="L13" s="73"/>
      <c r="M13" s="73"/>
      <c r="N13" s="75">
        <v>2079</v>
      </c>
      <c r="O13" s="76"/>
      <c r="P13" s="76"/>
      <c r="Q13" s="76"/>
      <c r="R13" s="75">
        <v>1914</v>
      </c>
      <c r="S13" s="76"/>
      <c r="T13" s="76"/>
      <c r="U13" s="76"/>
      <c r="V13" s="75">
        <f>485+474+554+527</f>
        <v>2040</v>
      </c>
      <c r="W13" s="76"/>
      <c r="X13" s="76"/>
      <c r="Y13" s="76"/>
      <c r="Z13" s="75">
        <v>2278</v>
      </c>
      <c r="AA13" s="76"/>
      <c r="AB13" s="76"/>
      <c r="AC13" s="76"/>
      <c r="AD13" s="75">
        <v>2099</v>
      </c>
      <c r="AE13" s="76"/>
      <c r="AF13" s="76"/>
      <c r="AG13" s="76"/>
      <c r="AH13" s="75"/>
      <c r="AI13" s="76"/>
      <c r="AJ13" s="76"/>
      <c r="AK13" s="76"/>
      <c r="AL13" s="64"/>
      <c r="AM13" s="65">
        <f>Punkti!B13+Punkti!F13+Punkti!J13+Punkti!N13+Punkti!R13+Punkti!V13+Punkti!Z13+Punkti!AD13+Punkti!AH13</f>
        <v>14552</v>
      </c>
      <c r="AN13" s="65"/>
      <c r="AO13" s="66"/>
    </row>
    <row r="14" spans="1:41" ht="14.25">
      <c r="A14" s="84" t="s">
        <v>29</v>
      </c>
      <c r="B14" s="62">
        <v>0</v>
      </c>
      <c r="C14" s="63">
        <v>0</v>
      </c>
      <c r="D14" s="63">
        <v>0</v>
      </c>
      <c r="E14" s="63">
        <v>2</v>
      </c>
      <c r="F14" s="62">
        <v>2</v>
      </c>
      <c r="G14" s="63">
        <v>2</v>
      </c>
      <c r="H14" s="63">
        <v>2</v>
      </c>
      <c r="I14" s="63">
        <v>2</v>
      </c>
      <c r="J14" s="62">
        <v>0</v>
      </c>
      <c r="K14" s="63">
        <v>0</v>
      </c>
      <c r="L14" s="63">
        <v>2</v>
      </c>
      <c r="M14" s="63">
        <v>2</v>
      </c>
      <c r="N14" s="59"/>
      <c r="O14" s="77"/>
      <c r="P14" s="77"/>
      <c r="Q14" s="77"/>
      <c r="R14" s="62">
        <v>2</v>
      </c>
      <c r="S14" s="63">
        <v>0</v>
      </c>
      <c r="T14" s="63">
        <v>0</v>
      </c>
      <c r="U14" s="63">
        <v>2</v>
      </c>
      <c r="V14" s="62">
        <v>2</v>
      </c>
      <c r="W14" s="63">
        <v>0</v>
      </c>
      <c r="X14" s="63">
        <v>2</v>
      </c>
      <c r="Y14" s="63">
        <v>0</v>
      </c>
      <c r="Z14" s="62">
        <v>2</v>
      </c>
      <c r="AA14" s="63">
        <v>0</v>
      </c>
      <c r="AB14" s="63">
        <v>0</v>
      </c>
      <c r="AC14" s="63">
        <v>0</v>
      </c>
      <c r="AD14" s="62">
        <v>2</v>
      </c>
      <c r="AE14" s="63">
        <v>2</v>
      </c>
      <c r="AF14" s="63">
        <v>0</v>
      </c>
      <c r="AG14" s="63">
        <v>2</v>
      </c>
      <c r="AH14" s="62"/>
      <c r="AI14" s="63"/>
      <c r="AJ14" s="63"/>
      <c r="AK14" s="63"/>
      <c r="AL14" s="85">
        <f>Punkti!A14</f>
        <v>0</v>
      </c>
      <c r="AM14" s="65">
        <f>SUM(Punkti!B14:AK14)</f>
        <v>30</v>
      </c>
      <c r="AN14" s="65">
        <f>SUM(Punkti!B15:AK15)</f>
        <v>6</v>
      </c>
      <c r="AO14" s="66"/>
    </row>
    <row r="15" spans="1:41" ht="14.25">
      <c r="A15" s="84"/>
      <c r="B15" s="70"/>
      <c r="C15" s="71"/>
      <c r="D15" s="71"/>
      <c r="E15" s="71">
        <v>0</v>
      </c>
      <c r="F15" s="70"/>
      <c r="G15" s="71"/>
      <c r="H15" s="71"/>
      <c r="I15" s="71">
        <v>2</v>
      </c>
      <c r="J15" s="70"/>
      <c r="K15" s="71"/>
      <c r="L15" s="71"/>
      <c r="M15" s="71">
        <v>2</v>
      </c>
      <c r="N15" s="67"/>
      <c r="O15" s="68"/>
      <c r="P15" s="68"/>
      <c r="Q15" s="68"/>
      <c r="R15" s="70"/>
      <c r="S15" s="71"/>
      <c r="T15" s="71"/>
      <c r="U15" s="71">
        <v>0</v>
      </c>
      <c r="V15" s="70"/>
      <c r="W15" s="71"/>
      <c r="X15" s="71"/>
      <c r="Y15" s="71">
        <v>0</v>
      </c>
      <c r="Z15" s="70"/>
      <c r="AA15" s="71"/>
      <c r="AB15" s="71"/>
      <c r="AC15" s="71">
        <v>0</v>
      </c>
      <c r="AD15" s="70"/>
      <c r="AE15" s="71"/>
      <c r="AF15" s="71"/>
      <c r="AG15" s="71">
        <v>2</v>
      </c>
      <c r="AH15" s="70"/>
      <c r="AI15" s="71"/>
      <c r="AJ15" s="71"/>
      <c r="AK15" s="71"/>
      <c r="AL15" s="85"/>
      <c r="AM15" s="65"/>
      <c r="AN15" s="65"/>
      <c r="AO15" s="66"/>
    </row>
    <row r="16" spans="1:41" ht="14.25">
      <c r="A16" s="84"/>
      <c r="B16" s="75">
        <f>438+474+458+553</f>
        <v>1923</v>
      </c>
      <c r="C16" s="76"/>
      <c r="D16" s="76"/>
      <c r="E16" s="76"/>
      <c r="F16" s="75">
        <v>2269</v>
      </c>
      <c r="G16" s="76"/>
      <c r="H16" s="76"/>
      <c r="I16" s="76"/>
      <c r="J16" s="75">
        <v>2097</v>
      </c>
      <c r="K16" s="76"/>
      <c r="L16" s="76"/>
      <c r="M16" s="86"/>
      <c r="N16" s="67"/>
      <c r="O16" s="68"/>
      <c r="P16" s="68"/>
      <c r="Q16" s="68"/>
      <c r="R16" s="75">
        <v>1985</v>
      </c>
      <c r="S16" s="76"/>
      <c r="T16" s="76"/>
      <c r="U16" s="76"/>
      <c r="V16" s="75">
        <f>462+422+473+443</f>
        <v>1800</v>
      </c>
      <c r="W16" s="76"/>
      <c r="X16" s="76"/>
      <c r="Y16" s="76"/>
      <c r="Z16" s="75">
        <f>529+463+460+167+147+157</f>
        <v>1923</v>
      </c>
      <c r="AA16" s="76"/>
      <c r="AB16" s="76"/>
      <c r="AC16" s="76"/>
      <c r="AD16" s="75">
        <v>1899</v>
      </c>
      <c r="AE16" s="76"/>
      <c r="AF16" s="76"/>
      <c r="AG16" s="76"/>
      <c r="AH16" s="75"/>
      <c r="AI16" s="76"/>
      <c r="AJ16" s="76"/>
      <c r="AK16" s="76"/>
      <c r="AL16" s="85"/>
      <c r="AM16" s="65">
        <f>Punkti!B16+Punkti!F16+Punkti!J16+Punkti!N16+Punkti!R16+Punkti!V16+Punkti!Z16+Punkti!AD16+Punkti!AH16</f>
        <v>13896</v>
      </c>
      <c r="AN16" s="65"/>
      <c r="AO16" s="66"/>
    </row>
    <row r="17" spans="1:41" ht="14.25">
      <c r="A17" s="87" t="s">
        <v>30</v>
      </c>
      <c r="B17" s="62">
        <v>0</v>
      </c>
      <c r="C17" s="63">
        <v>2</v>
      </c>
      <c r="D17" s="63">
        <v>0</v>
      </c>
      <c r="E17" s="63">
        <v>0</v>
      </c>
      <c r="F17" s="62">
        <v>2</v>
      </c>
      <c r="G17" s="63">
        <v>0</v>
      </c>
      <c r="H17" s="63">
        <v>0</v>
      </c>
      <c r="I17" s="63">
        <v>2</v>
      </c>
      <c r="J17" s="62">
        <v>2</v>
      </c>
      <c r="K17" s="63">
        <v>2</v>
      </c>
      <c r="L17" s="63">
        <v>2</v>
      </c>
      <c r="M17" s="63">
        <v>0</v>
      </c>
      <c r="N17" s="62">
        <v>0</v>
      </c>
      <c r="O17" s="63">
        <v>2</v>
      </c>
      <c r="P17" s="63">
        <v>2</v>
      </c>
      <c r="Q17" s="63">
        <v>0</v>
      </c>
      <c r="R17" s="59"/>
      <c r="S17" s="77"/>
      <c r="T17" s="77"/>
      <c r="U17" s="77"/>
      <c r="V17" s="62">
        <v>0</v>
      </c>
      <c r="W17" s="63">
        <v>0</v>
      </c>
      <c r="X17" s="63">
        <v>2</v>
      </c>
      <c r="Y17" s="63">
        <v>0</v>
      </c>
      <c r="Z17" s="62">
        <v>0</v>
      </c>
      <c r="AA17" s="63">
        <v>0</v>
      </c>
      <c r="AB17" s="63">
        <v>2</v>
      </c>
      <c r="AC17" s="63">
        <v>0</v>
      </c>
      <c r="AD17" s="62">
        <v>2</v>
      </c>
      <c r="AE17" s="63">
        <v>2</v>
      </c>
      <c r="AF17" s="63">
        <v>2</v>
      </c>
      <c r="AG17" s="63">
        <v>2</v>
      </c>
      <c r="AH17" s="62"/>
      <c r="AI17" s="63"/>
      <c r="AJ17" s="63"/>
      <c r="AK17" s="63"/>
      <c r="AL17" s="64">
        <f>Punkti!A17</f>
        <v>0</v>
      </c>
      <c r="AM17" s="65">
        <f>SUM(Punkti!B17:AK17)</f>
        <v>28</v>
      </c>
      <c r="AN17" s="65">
        <f>SUM(Punkti!B18:AK18)</f>
        <v>6</v>
      </c>
      <c r="AO17" s="66"/>
    </row>
    <row r="18" spans="1:41" ht="14.25">
      <c r="A18" s="87"/>
      <c r="B18" s="70"/>
      <c r="C18" s="71"/>
      <c r="D18" s="71"/>
      <c r="E18" s="71">
        <v>0</v>
      </c>
      <c r="F18" s="70"/>
      <c r="G18" s="71"/>
      <c r="H18" s="71"/>
      <c r="I18" s="71">
        <v>0</v>
      </c>
      <c r="J18" s="70"/>
      <c r="K18" s="71"/>
      <c r="L18" s="71"/>
      <c r="M18" s="71">
        <v>2</v>
      </c>
      <c r="N18" s="70"/>
      <c r="O18" s="71"/>
      <c r="P18" s="71"/>
      <c r="Q18" s="71">
        <v>2</v>
      </c>
      <c r="R18" s="67"/>
      <c r="S18" s="68"/>
      <c r="T18" s="68"/>
      <c r="U18" s="68"/>
      <c r="V18" s="70"/>
      <c r="W18" s="71"/>
      <c r="X18" s="71"/>
      <c r="Y18" s="71">
        <v>0</v>
      </c>
      <c r="Z18" s="70"/>
      <c r="AA18" s="71"/>
      <c r="AB18" s="71"/>
      <c r="AC18" s="71">
        <v>0</v>
      </c>
      <c r="AD18" s="70"/>
      <c r="AE18" s="71"/>
      <c r="AF18" s="71"/>
      <c r="AG18" s="71">
        <v>2</v>
      </c>
      <c r="AH18" s="70"/>
      <c r="AI18" s="71"/>
      <c r="AJ18" s="71"/>
      <c r="AK18" s="71"/>
      <c r="AL18" s="64"/>
      <c r="AM18" s="65"/>
      <c r="AN18" s="65"/>
      <c r="AO18" s="66"/>
    </row>
    <row r="19" spans="1:41" ht="14.25">
      <c r="A19" s="87"/>
      <c r="B19" s="75">
        <f>476+532+441+557</f>
        <v>2006</v>
      </c>
      <c r="C19" s="76"/>
      <c r="D19" s="76"/>
      <c r="E19" s="76"/>
      <c r="F19" s="75">
        <v>1921</v>
      </c>
      <c r="G19" s="76"/>
      <c r="H19" s="76"/>
      <c r="I19" s="76"/>
      <c r="J19" s="75">
        <v>2110</v>
      </c>
      <c r="K19" s="76"/>
      <c r="L19" s="76"/>
      <c r="M19" s="76"/>
      <c r="N19" s="75">
        <v>2007</v>
      </c>
      <c r="O19" s="76"/>
      <c r="P19" s="76"/>
      <c r="Q19" s="76"/>
      <c r="R19" s="67"/>
      <c r="S19" s="68"/>
      <c r="T19" s="68"/>
      <c r="U19" s="68"/>
      <c r="V19" s="75">
        <v>1997</v>
      </c>
      <c r="W19" s="76"/>
      <c r="X19" s="76"/>
      <c r="Y19" s="76"/>
      <c r="Z19" s="75">
        <v>1891</v>
      </c>
      <c r="AA19" s="76"/>
      <c r="AB19" s="76"/>
      <c r="AC19" s="76"/>
      <c r="AD19" s="75">
        <f>499+522+546+498</f>
        <v>2065</v>
      </c>
      <c r="AE19" s="76"/>
      <c r="AF19" s="76"/>
      <c r="AG19" s="76"/>
      <c r="AH19" s="75"/>
      <c r="AI19" s="76"/>
      <c r="AJ19" s="76"/>
      <c r="AK19" s="76"/>
      <c r="AL19" s="64"/>
      <c r="AM19" s="65">
        <f>Punkti!B19+Punkti!F19+Punkti!J19+Punkti!N19+Punkti!R19+Punkti!V19+Punkti!Z19+Punkti!AD19+Punkti!AH19</f>
        <v>13997</v>
      </c>
      <c r="AN19" s="65"/>
      <c r="AO19" s="66"/>
    </row>
    <row r="20" spans="1:41" ht="14.25">
      <c r="A20" s="84" t="s">
        <v>31</v>
      </c>
      <c r="B20" s="62">
        <v>0</v>
      </c>
      <c r="C20" s="63">
        <v>0</v>
      </c>
      <c r="D20" s="63">
        <v>0</v>
      </c>
      <c r="E20" s="63">
        <v>2</v>
      </c>
      <c r="F20" s="62">
        <v>0</v>
      </c>
      <c r="G20" s="63">
        <v>2</v>
      </c>
      <c r="H20" s="63">
        <v>1</v>
      </c>
      <c r="I20" s="63">
        <v>2</v>
      </c>
      <c r="J20" s="62">
        <v>0</v>
      </c>
      <c r="K20" s="63">
        <v>0</v>
      </c>
      <c r="L20" s="63">
        <v>0</v>
      </c>
      <c r="M20" s="63">
        <v>0</v>
      </c>
      <c r="N20" s="62">
        <v>0</v>
      </c>
      <c r="O20" s="63">
        <v>2</v>
      </c>
      <c r="P20" s="63">
        <v>0</v>
      </c>
      <c r="Q20" s="63">
        <v>2</v>
      </c>
      <c r="R20" s="62">
        <v>2</v>
      </c>
      <c r="S20" s="63">
        <v>2</v>
      </c>
      <c r="T20" s="63">
        <v>0</v>
      </c>
      <c r="U20" s="63">
        <v>2</v>
      </c>
      <c r="V20" s="59"/>
      <c r="W20" s="60"/>
      <c r="X20" s="60"/>
      <c r="Y20" s="61"/>
      <c r="Z20" s="62">
        <v>0</v>
      </c>
      <c r="AA20" s="63">
        <v>0</v>
      </c>
      <c r="AB20" s="63">
        <v>2</v>
      </c>
      <c r="AC20" s="63">
        <v>2</v>
      </c>
      <c r="AD20" s="62">
        <v>0</v>
      </c>
      <c r="AE20" s="63">
        <v>0</v>
      </c>
      <c r="AF20" s="63">
        <v>2</v>
      </c>
      <c r="AG20" s="63">
        <v>0</v>
      </c>
      <c r="AH20" s="62"/>
      <c r="AI20" s="63"/>
      <c r="AJ20" s="63"/>
      <c r="AK20" s="63"/>
      <c r="AL20" s="64">
        <f>Punkti!A20</f>
        <v>0</v>
      </c>
      <c r="AM20" s="65">
        <f>SUM(Punkti!B20:AK20)</f>
        <v>23</v>
      </c>
      <c r="AN20" s="65">
        <f>SUM(Punkti!B21:AK21)</f>
        <v>8</v>
      </c>
      <c r="AO20" s="66"/>
    </row>
    <row r="21" spans="1:41" ht="14.25">
      <c r="A21" s="84"/>
      <c r="B21" s="70"/>
      <c r="C21" s="71"/>
      <c r="D21" s="71"/>
      <c r="E21" s="71">
        <v>0</v>
      </c>
      <c r="F21" s="70"/>
      <c r="G21" s="71"/>
      <c r="H21" s="71"/>
      <c r="I21" s="71">
        <v>2</v>
      </c>
      <c r="J21" s="70"/>
      <c r="K21" s="71"/>
      <c r="L21" s="71"/>
      <c r="M21" s="71">
        <v>0</v>
      </c>
      <c r="N21" s="70"/>
      <c r="O21" s="71"/>
      <c r="P21" s="71"/>
      <c r="Q21" s="71">
        <v>2</v>
      </c>
      <c r="R21" s="70"/>
      <c r="S21" s="71"/>
      <c r="T21" s="71"/>
      <c r="U21" s="71">
        <v>2</v>
      </c>
      <c r="V21" s="67"/>
      <c r="W21" s="68"/>
      <c r="X21" s="68"/>
      <c r="Y21" s="69"/>
      <c r="Z21" s="70"/>
      <c r="AA21" s="71"/>
      <c r="AB21" s="71"/>
      <c r="AC21" s="71">
        <v>2</v>
      </c>
      <c r="AD21" s="70"/>
      <c r="AE21" s="71"/>
      <c r="AF21" s="71"/>
      <c r="AG21" s="71">
        <v>0</v>
      </c>
      <c r="AH21" s="70"/>
      <c r="AI21" s="71"/>
      <c r="AJ21" s="71"/>
      <c r="AK21" s="71"/>
      <c r="AL21" s="64"/>
      <c r="AM21" s="65"/>
      <c r="AN21" s="65"/>
      <c r="AO21" s="66"/>
    </row>
    <row r="22" spans="1:41" ht="14.25">
      <c r="A22" s="84"/>
      <c r="B22" s="75">
        <v>1904</v>
      </c>
      <c r="C22" s="76"/>
      <c r="D22" s="76"/>
      <c r="E22" s="76"/>
      <c r="F22" s="75">
        <v>1874</v>
      </c>
      <c r="G22" s="76"/>
      <c r="H22" s="76"/>
      <c r="I22" s="76"/>
      <c r="J22" s="75">
        <f>469+452+528+445</f>
        <v>1894</v>
      </c>
      <c r="K22" s="76"/>
      <c r="L22" s="76"/>
      <c r="M22" s="76"/>
      <c r="N22" s="75">
        <f>443+505+461+488</f>
        <v>1897</v>
      </c>
      <c r="O22" s="76"/>
      <c r="P22" s="76"/>
      <c r="Q22" s="76"/>
      <c r="R22" s="75">
        <v>2056</v>
      </c>
      <c r="S22" s="76"/>
      <c r="T22" s="76"/>
      <c r="U22" s="76"/>
      <c r="V22" s="72"/>
      <c r="W22" s="73"/>
      <c r="X22" s="73"/>
      <c r="Y22" s="74"/>
      <c r="Z22" s="75">
        <f>480+545+553+571</f>
        <v>2149</v>
      </c>
      <c r="AA22" s="76"/>
      <c r="AB22" s="76"/>
      <c r="AC22" s="76"/>
      <c r="AD22" s="75">
        <f>459+521+498+464</f>
        <v>1942</v>
      </c>
      <c r="AE22" s="76"/>
      <c r="AF22" s="76"/>
      <c r="AG22" s="76"/>
      <c r="AH22" s="75"/>
      <c r="AI22" s="76"/>
      <c r="AJ22" s="76"/>
      <c r="AK22" s="76"/>
      <c r="AL22" s="64"/>
      <c r="AM22" s="65">
        <f>Punkti!B22+Punkti!F22+Punkti!J22+Punkti!N22+Punkti!R22+Punkti!V22+Punkti!Z22+Punkti!AD22+Punkti!AH22</f>
        <v>13716</v>
      </c>
      <c r="AN22" s="65"/>
      <c r="AO22" s="66"/>
    </row>
    <row r="23" spans="1:41" ht="14.25">
      <c r="A23" s="87" t="s">
        <v>32</v>
      </c>
      <c r="B23" s="62">
        <v>2</v>
      </c>
      <c r="C23" s="63">
        <v>0</v>
      </c>
      <c r="D23" s="63">
        <v>0</v>
      </c>
      <c r="E23" s="63">
        <v>2</v>
      </c>
      <c r="F23" s="62">
        <v>0</v>
      </c>
      <c r="G23" s="63">
        <v>0</v>
      </c>
      <c r="H23" s="63">
        <v>0</v>
      </c>
      <c r="I23" s="63">
        <v>2</v>
      </c>
      <c r="J23" s="62">
        <v>0</v>
      </c>
      <c r="K23" s="63">
        <v>0</v>
      </c>
      <c r="L23" s="63">
        <v>0</v>
      </c>
      <c r="M23" s="63">
        <v>0</v>
      </c>
      <c r="N23" s="62">
        <v>0</v>
      </c>
      <c r="O23" s="63">
        <v>2</v>
      </c>
      <c r="P23" s="63">
        <v>2</v>
      </c>
      <c r="Q23" s="63">
        <v>2</v>
      </c>
      <c r="R23" s="62">
        <v>2</v>
      </c>
      <c r="S23" s="63">
        <v>2</v>
      </c>
      <c r="T23" s="63">
        <v>0</v>
      </c>
      <c r="U23" s="63">
        <v>2</v>
      </c>
      <c r="V23" s="62">
        <v>2</v>
      </c>
      <c r="W23" s="63">
        <v>2</v>
      </c>
      <c r="X23" s="63">
        <v>0</v>
      </c>
      <c r="Y23" s="63">
        <v>0</v>
      </c>
      <c r="Z23" s="59"/>
      <c r="AA23" s="60"/>
      <c r="AB23" s="60"/>
      <c r="AC23" s="61"/>
      <c r="AD23" s="62">
        <v>0</v>
      </c>
      <c r="AE23" s="63">
        <v>0</v>
      </c>
      <c r="AF23" s="63">
        <v>2</v>
      </c>
      <c r="AG23" s="63">
        <v>2</v>
      </c>
      <c r="AH23" s="62"/>
      <c r="AI23" s="63"/>
      <c r="AJ23" s="63"/>
      <c r="AK23" s="63"/>
      <c r="AL23" s="64">
        <f>Punkti!A23</f>
        <v>0</v>
      </c>
      <c r="AM23" s="65">
        <f>SUM(Punkti!B23:AK23)</f>
        <v>26</v>
      </c>
      <c r="AN23" s="65">
        <f>SUM(Punkti!B24:AK24)</f>
        <v>4</v>
      </c>
      <c r="AO23" s="66"/>
    </row>
    <row r="24" spans="1:41" ht="14.25">
      <c r="A24" s="87"/>
      <c r="B24" s="70"/>
      <c r="C24" s="71"/>
      <c r="D24" s="71"/>
      <c r="E24" s="71">
        <v>0</v>
      </c>
      <c r="F24" s="70"/>
      <c r="G24" s="71"/>
      <c r="H24" s="71"/>
      <c r="I24" s="71">
        <v>0</v>
      </c>
      <c r="J24" s="70"/>
      <c r="K24" s="71"/>
      <c r="L24" s="71"/>
      <c r="M24" s="71">
        <v>0</v>
      </c>
      <c r="N24" s="70"/>
      <c r="O24" s="71"/>
      <c r="P24" s="71"/>
      <c r="Q24" s="71">
        <v>0</v>
      </c>
      <c r="R24" s="70"/>
      <c r="S24" s="71"/>
      <c r="T24" s="71"/>
      <c r="U24" s="71">
        <v>2</v>
      </c>
      <c r="V24" s="70"/>
      <c r="W24" s="71"/>
      <c r="X24" s="71"/>
      <c r="Y24" s="71">
        <v>0</v>
      </c>
      <c r="Z24" s="67"/>
      <c r="AA24" s="68"/>
      <c r="AB24" s="68"/>
      <c r="AC24" s="69"/>
      <c r="AD24" s="70"/>
      <c r="AE24" s="71"/>
      <c r="AF24" s="71"/>
      <c r="AG24" s="71">
        <v>2</v>
      </c>
      <c r="AH24" s="70"/>
      <c r="AI24" s="71"/>
      <c r="AJ24" s="71"/>
      <c r="AK24" s="71"/>
      <c r="AL24" s="64"/>
      <c r="AM24" s="65"/>
      <c r="AN24" s="65"/>
      <c r="AO24" s="66"/>
    </row>
    <row r="25" spans="1:41" ht="14.25">
      <c r="A25" s="87"/>
      <c r="B25" s="75">
        <v>1869</v>
      </c>
      <c r="C25" s="76"/>
      <c r="D25" s="76"/>
      <c r="E25" s="76"/>
      <c r="F25" s="75">
        <v>1899</v>
      </c>
      <c r="G25" s="76"/>
      <c r="H25" s="76"/>
      <c r="I25" s="76"/>
      <c r="J25" s="75">
        <v>1933</v>
      </c>
      <c r="K25" s="76"/>
      <c r="L25" s="76"/>
      <c r="M25" s="76"/>
      <c r="N25" s="75">
        <f>448+502+511+570</f>
        <v>2031</v>
      </c>
      <c r="O25" s="76"/>
      <c r="P25" s="76"/>
      <c r="Q25" s="76"/>
      <c r="R25" s="75">
        <v>2004</v>
      </c>
      <c r="S25" s="76"/>
      <c r="T25" s="76"/>
      <c r="U25" s="76"/>
      <c r="V25" s="75">
        <f>493+582+492+423</f>
        <v>1990</v>
      </c>
      <c r="W25" s="76"/>
      <c r="X25" s="76"/>
      <c r="Y25" s="76"/>
      <c r="Z25" s="72"/>
      <c r="AA25" s="73"/>
      <c r="AB25" s="73"/>
      <c r="AC25" s="74"/>
      <c r="AD25" s="75">
        <v>2016</v>
      </c>
      <c r="AE25" s="76"/>
      <c r="AF25" s="76"/>
      <c r="AG25" s="76"/>
      <c r="AH25" s="75"/>
      <c r="AI25" s="76"/>
      <c r="AJ25" s="76"/>
      <c r="AK25" s="76"/>
      <c r="AL25" s="64"/>
      <c r="AM25" s="65">
        <f>Punkti!B25+Punkti!F25+Punkti!J25+Punkti!N25+Punkti!R25+Punkti!V25+Punkti!Z25+Punkti!AD25+Punkti!AH25</f>
        <v>13742</v>
      </c>
      <c r="AN25" s="65"/>
      <c r="AO25" s="66"/>
    </row>
    <row r="26" spans="1:41" ht="14.25">
      <c r="A26" s="87" t="s">
        <v>33</v>
      </c>
      <c r="B26" s="62">
        <v>2</v>
      </c>
      <c r="C26" s="63">
        <v>2</v>
      </c>
      <c r="D26" s="63">
        <v>0</v>
      </c>
      <c r="E26" s="63">
        <v>0</v>
      </c>
      <c r="F26" s="62">
        <v>2</v>
      </c>
      <c r="G26" s="63">
        <v>2</v>
      </c>
      <c r="H26" s="63">
        <v>2</v>
      </c>
      <c r="I26" s="63">
        <v>0</v>
      </c>
      <c r="J26" s="62">
        <v>0</v>
      </c>
      <c r="K26" s="63">
        <v>2</v>
      </c>
      <c r="L26" s="63">
        <v>2</v>
      </c>
      <c r="M26" s="63">
        <v>0</v>
      </c>
      <c r="N26" s="62">
        <v>0</v>
      </c>
      <c r="O26" s="63">
        <v>0</v>
      </c>
      <c r="P26" s="63">
        <v>2</v>
      </c>
      <c r="Q26" s="63">
        <v>0</v>
      </c>
      <c r="R26" s="62">
        <v>0</v>
      </c>
      <c r="S26" s="63">
        <v>0</v>
      </c>
      <c r="T26" s="63">
        <v>0</v>
      </c>
      <c r="U26" s="63">
        <v>0</v>
      </c>
      <c r="V26" s="62">
        <v>2</v>
      </c>
      <c r="W26" s="63">
        <v>2</v>
      </c>
      <c r="X26" s="63">
        <v>0</v>
      </c>
      <c r="Y26" s="63">
        <v>2</v>
      </c>
      <c r="Z26" s="62">
        <v>2</v>
      </c>
      <c r="AA26" s="63">
        <v>2</v>
      </c>
      <c r="AB26" s="63">
        <v>0</v>
      </c>
      <c r="AC26" s="63">
        <v>0</v>
      </c>
      <c r="AD26" s="59"/>
      <c r="AE26" s="60"/>
      <c r="AF26" s="60"/>
      <c r="AG26" s="61"/>
      <c r="AH26" s="62"/>
      <c r="AI26" s="63"/>
      <c r="AJ26" s="63"/>
      <c r="AK26" s="63"/>
      <c r="AL26" s="64">
        <f>Punkti!A26</f>
        <v>0</v>
      </c>
      <c r="AM26" s="65">
        <f>SUM(Punkti!B26:AK26)</f>
        <v>26</v>
      </c>
      <c r="AN26" s="65">
        <f>SUM(Punkti!B27:AK27)</f>
        <v>8</v>
      </c>
      <c r="AO26" s="66"/>
    </row>
    <row r="27" spans="1:41" ht="14.25">
      <c r="A27" s="87"/>
      <c r="B27" s="70"/>
      <c r="C27" s="71"/>
      <c r="D27" s="71"/>
      <c r="E27" s="71">
        <v>2</v>
      </c>
      <c r="F27" s="70"/>
      <c r="G27" s="71"/>
      <c r="H27" s="71"/>
      <c r="I27" s="71">
        <v>2</v>
      </c>
      <c r="J27" s="70"/>
      <c r="K27" s="71"/>
      <c r="L27" s="71"/>
      <c r="M27" s="71">
        <v>2</v>
      </c>
      <c r="N27" s="70"/>
      <c r="O27" s="71"/>
      <c r="P27" s="71"/>
      <c r="Q27" s="71">
        <v>0</v>
      </c>
      <c r="R27" s="70"/>
      <c r="S27" s="71"/>
      <c r="T27" s="71"/>
      <c r="U27" s="71">
        <v>0</v>
      </c>
      <c r="V27" s="70"/>
      <c r="W27" s="71"/>
      <c r="X27" s="71"/>
      <c r="Y27" s="71">
        <v>2</v>
      </c>
      <c r="Z27" s="70"/>
      <c r="AA27" s="71"/>
      <c r="AB27" s="71"/>
      <c r="AC27" s="71">
        <v>0</v>
      </c>
      <c r="AD27" s="67"/>
      <c r="AE27" s="68"/>
      <c r="AF27" s="68"/>
      <c r="AG27" s="69"/>
      <c r="AH27" s="70"/>
      <c r="AI27" s="71"/>
      <c r="AJ27" s="71"/>
      <c r="AK27" s="71"/>
      <c r="AL27" s="64"/>
      <c r="AM27" s="65"/>
      <c r="AN27" s="65"/>
      <c r="AO27" s="66"/>
    </row>
    <row r="28" spans="1:41" ht="14.25">
      <c r="A28" s="87"/>
      <c r="B28" s="75">
        <f>540+565+440+491</f>
        <v>2036</v>
      </c>
      <c r="C28" s="76"/>
      <c r="D28" s="76"/>
      <c r="E28" s="76"/>
      <c r="F28" s="75">
        <v>2204</v>
      </c>
      <c r="G28" s="76"/>
      <c r="H28" s="76"/>
      <c r="I28" s="76"/>
      <c r="J28" s="75">
        <v>2114</v>
      </c>
      <c r="K28" s="76"/>
      <c r="L28" s="76"/>
      <c r="M28" s="76"/>
      <c r="N28" s="75">
        <v>1886</v>
      </c>
      <c r="O28" s="76"/>
      <c r="P28" s="76"/>
      <c r="Q28" s="76"/>
      <c r="R28" s="75">
        <f>436+493+474+471</f>
        <v>1874</v>
      </c>
      <c r="S28" s="76"/>
      <c r="T28" s="76"/>
      <c r="U28" s="76"/>
      <c r="V28" s="75">
        <f>525+525+488+483</f>
        <v>2021</v>
      </c>
      <c r="W28" s="76"/>
      <c r="X28" s="76"/>
      <c r="Y28" s="76"/>
      <c r="Z28" s="75">
        <v>2005</v>
      </c>
      <c r="AA28" s="76"/>
      <c r="AB28" s="76"/>
      <c r="AC28" s="86"/>
      <c r="AD28" s="72"/>
      <c r="AE28" s="73"/>
      <c r="AF28" s="73"/>
      <c r="AG28" s="74"/>
      <c r="AH28" s="75"/>
      <c r="AI28" s="76"/>
      <c r="AJ28" s="76"/>
      <c r="AK28" s="76"/>
      <c r="AL28" s="64"/>
      <c r="AM28" s="65">
        <f>Punkti!B28+Punkti!F28+Punkti!J28+Punkti!N28+Punkti!R28+Punkti!V28+Punkti!Z28+Punkti!AD28+Punkti!AH28</f>
        <v>14140</v>
      </c>
      <c r="AN28" s="65"/>
      <c r="AO28" s="66"/>
    </row>
    <row r="29" spans="1:41" ht="8.25" customHeight="1" hidden="1">
      <c r="A29" s="87"/>
      <c r="B29" s="62"/>
      <c r="C29" s="63"/>
      <c r="D29" s="63"/>
      <c r="E29" s="63"/>
      <c r="F29" s="62"/>
      <c r="G29" s="63"/>
      <c r="H29" s="63"/>
      <c r="I29" s="63"/>
      <c r="J29" s="62"/>
      <c r="K29" s="63"/>
      <c r="L29" s="63"/>
      <c r="M29" s="63"/>
      <c r="N29" s="62"/>
      <c r="O29" s="63"/>
      <c r="P29" s="63"/>
      <c r="Q29" s="63"/>
      <c r="R29" s="62"/>
      <c r="S29" s="63"/>
      <c r="T29" s="63"/>
      <c r="U29" s="63"/>
      <c r="V29" s="62"/>
      <c r="W29" s="63"/>
      <c r="X29" s="63"/>
      <c r="Y29" s="63"/>
      <c r="Z29" s="62"/>
      <c r="AA29" s="63"/>
      <c r="AB29" s="63"/>
      <c r="AC29" s="63"/>
      <c r="AD29" s="62"/>
      <c r="AE29" s="63"/>
      <c r="AF29" s="63"/>
      <c r="AG29" s="63"/>
      <c r="AH29" s="59"/>
      <c r="AI29" s="60"/>
      <c r="AJ29" s="60"/>
      <c r="AK29" s="61"/>
      <c r="AL29" s="64">
        <f>Punkti!A29</f>
        <v>0</v>
      </c>
      <c r="AM29" s="65">
        <f>SUM(Punkti!B29:AK29)</f>
        <v>0</v>
      </c>
      <c r="AN29" s="65">
        <f>SUM(Punkti!B30:AK30)</f>
        <v>0</v>
      </c>
      <c r="AO29" s="66"/>
    </row>
    <row r="30" spans="1:41" ht="14.25" hidden="1">
      <c r="A30" s="87"/>
      <c r="B30" s="70"/>
      <c r="C30" s="71"/>
      <c r="D30" s="71"/>
      <c r="E30" s="71"/>
      <c r="F30" s="70"/>
      <c r="G30" s="71"/>
      <c r="H30" s="71"/>
      <c r="I30" s="71"/>
      <c r="J30" s="70"/>
      <c r="K30" s="71"/>
      <c r="L30" s="71"/>
      <c r="M30" s="71"/>
      <c r="N30" s="70"/>
      <c r="O30" s="71"/>
      <c r="P30" s="71"/>
      <c r="Q30" s="71"/>
      <c r="R30" s="70"/>
      <c r="S30" s="71"/>
      <c r="T30" s="71"/>
      <c r="U30" s="71"/>
      <c r="V30" s="70"/>
      <c r="W30" s="71"/>
      <c r="X30" s="71"/>
      <c r="Y30" s="71"/>
      <c r="Z30" s="70"/>
      <c r="AA30" s="71"/>
      <c r="AB30" s="71"/>
      <c r="AC30" s="71"/>
      <c r="AD30" s="70"/>
      <c r="AE30" s="71"/>
      <c r="AF30" s="71"/>
      <c r="AG30" s="71"/>
      <c r="AH30" s="67"/>
      <c r="AI30" s="68"/>
      <c r="AJ30" s="68"/>
      <c r="AK30" s="69"/>
      <c r="AL30" s="64"/>
      <c r="AM30" s="65"/>
      <c r="AN30" s="65"/>
      <c r="AO30" s="66"/>
    </row>
    <row r="31" spans="1:41" ht="14.25" hidden="1">
      <c r="A31" s="87"/>
      <c r="B31" s="75"/>
      <c r="C31" s="76"/>
      <c r="D31" s="76"/>
      <c r="E31" s="76"/>
      <c r="F31" s="75"/>
      <c r="G31" s="76"/>
      <c r="H31" s="76"/>
      <c r="I31" s="76"/>
      <c r="J31" s="75"/>
      <c r="K31" s="76"/>
      <c r="L31" s="76"/>
      <c r="M31" s="76"/>
      <c r="N31" s="75"/>
      <c r="O31" s="76"/>
      <c r="P31" s="76"/>
      <c r="Q31" s="76"/>
      <c r="R31" s="75"/>
      <c r="S31" s="76"/>
      <c r="T31" s="76"/>
      <c r="U31" s="76"/>
      <c r="V31" s="75"/>
      <c r="W31" s="76"/>
      <c r="X31" s="76"/>
      <c r="Y31" s="76"/>
      <c r="Z31" s="75"/>
      <c r="AA31" s="76"/>
      <c r="AB31" s="76"/>
      <c r="AC31" s="76"/>
      <c r="AD31" s="75"/>
      <c r="AE31" s="76"/>
      <c r="AF31" s="76"/>
      <c r="AG31" s="76"/>
      <c r="AH31" s="72"/>
      <c r="AI31" s="73"/>
      <c r="AJ31" s="73"/>
      <c r="AK31" s="74"/>
      <c r="AL31" s="64"/>
      <c r="AM31" s="65">
        <f>Punkti!B31+Punkti!F31+Punkti!J31+Punkti!N31+Punkti!R31+Punkti!V31+Punkti!Z31+Punkti!AD31+Punkti!AH31</f>
        <v>0</v>
      </c>
      <c r="AN31" s="65"/>
      <c r="AO31" s="66"/>
    </row>
    <row r="44" ht="14.25"/>
  </sheetData>
  <sheetProtection selectLockedCells="1" selectUnlockedCells="1"/>
  <mergeCells count="36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5:A7"/>
    <mergeCell ref="AL5:AL7"/>
    <mergeCell ref="A8:A10"/>
    <mergeCell ref="AL8:AL10"/>
    <mergeCell ref="A11:A13"/>
    <mergeCell ref="AL11:AL13"/>
    <mergeCell ref="A14:A16"/>
    <mergeCell ref="AL14:AL16"/>
    <mergeCell ref="A17:A19"/>
    <mergeCell ref="AL17:AL19"/>
    <mergeCell ref="A20:A22"/>
    <mergeCell ref="AL20:AL22"/>
    <mergeCell ref="A23:A25"/>
    <mergeCell ref="AL23:AL25"/>
    <mergeCell ref="A26:A28"/>
    <mergeCell ref="AL26:AL28"/>
    <mergeCell ref="A29:A31"/>
    <mergeCell ref="AL29:AL3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R17"/>
  <sheetViews>
    <sheetView tabSelected="1" zoomScale="85" zoomScaleNormal="85" workbookViewId="0" topLeftCell="A1">
      <selection activeCell="I27" sqref="I27"/>
    </sheetView>
  </sheetViews>
  <sheetFormatPr defaultColWidth="9.140625" defaultRowHeight="12.75"/>
  <cols>
    <col min="1" max="1" width="6.8515625" style="88" customWidth="1"/>
    <col min="2" max="2" width="8.57421875" style="89" customWidth="1"/>
    <col min="3" max="3" width="36.140625" style="90" customWidth="1"/>
    <col min="4" max="4" width="32.57421875" style="91" customWidth="1"/>
    <col min="5" max="9" width="8.8515625" style="89" customWidth="1"/>
    <col min="10" max="10" width="9.421875" style="21" customWidth="1"/>
    <col min="11" max="11" width="8.8515625" style="90" customWidth="1"/>
    <col min="12" max="12" width="8.8515625" style="88" customWidth="1"/>
    <col min="13" max="13" width="8.8515625" style="89" customWidth="1"/>
    <col min="14" max="15" width="9.57421875" style="89" customWidth="1"/>
    <col min="16" max="16" width="11.28125" style="89" customWidth="1"/>
    <col min="17" max="17" width="10.7109375" style="89" customWidth="1"/>
    <col min="18" max="18" width="14.28125" style="88" customWidth="1"/>
    <col min="19" max="16384" width="9.140625" style="88" customWidth="1"/>
  </cols>
  <sheetData>
    <row r="1" ht="7.5" customHeight="1"/>
    <row r="2" ht="16.5" hidden="1"/>
    <row r="8" ht="7.5" customHeight="1">
      <c r="M8" s="92"/>
    </row>
    <row r="9" ht="16.5" hidden="1"/>
    <row r="10" spans="1:18" ht="106.5" customHeight="1">
      <c r="A10" s="93"/>
      <c r="B10" s="94" t="s">
        <v>1</v>
      </c>
      <c r="C10" s="95" t="s">
        <v>2</v>
      </c>
      <c r="D10" s="96" t="s">
        <v>9</v>
      </c>
      <c r="E10" s="27" t="s">
        <v>10</v>
      </c>
      <c r="F10" s="28" t="s">
        <v>11</v>
      </c>
      <c r="G10" s="29" t="s">
        <v>12</v>
      </c>
      <c r="H10" s="27" t="s">
        <v>13</v>
      </c>
      <c r="I10" s="28" t="s">
        <v>14</v>
      </c>
      <c r="J10" s="30" t="s">
        <v>15</v>
      </c>
      <c r="K10" s="27" t="s">
        <v>16</v>
      </c>
      <c r="L10" s="28" t="s">
        <v>17</v>
      </c>
      <c r="M10" s="30" t="s">
        <v>18</v>
      </c>
      <c r="Q10" s="88"/>
      <c r="R10" s="97"/>
    </row>
    <row r="11" spans="1:13" ht="18.75">
      <c r="A11" s="93"/>
      <c r="B11" s="98">
        <v>1</v>
      </c>
      <c r="C11" s="32">
        <f>Rezultati!A14</f>
        <v>0</v>
      </c>
      <c r="D11" s="32">
        <f>Rezultati!B14</f>
        <v>0</v>
      </c>
      <c r="E11" s="33">
        <v>27</v>
      </c>
      <c r="F11" s="33">
        <v>5376</v>
      </c>
      <c r="G11" s="33">
        <f aca="true" t="shared" si="0" ref="G11:G17">(F11/E11)-8</f>
        <v>191.11111111111111</v>
      </c>
      <c r="H11" s="35">
        <f>Rezultati!AP14</f>
        <v>20</v>
      </c>
      <c r="I11" s="35">
        <f>Rezultati!AO14</f>
        <v>3526</v>
      </c>
      <c r="J11" s="36">
        <f aca="true" t="shared" si="1" ref="J11:J17">(I11/H11)-8</f>
        <v>168.3</v>
      </c>
      <c r="K11" s="35">
        <f aca="true" t="shared" si="2" ref="K11:K17">H11+E11</f>
        <v>47</v>
      </c>
      <c r="L11" s="35">
        <f aca="true" t="shared" si="3" ref="L11:L17">I11+F11</f>
        <v>8902</v>
      </c>
      <c r="M11" s="36">
        <f aca="true" t="shared" si="4" ref="M11:M17">(L11/K11)-8</f>
        <v>181.40425531914894</v>
      </c>
    </row>
    <row r="12" spans="1:13" ht="18.75">
      <c r="A12" s="93"/>
      <c r="B12" s="98">
        <v>2</v>
      </c>
      <c r="C12" s="32">
        <f>Rezultati!A44</f>
        <v>0</v>
      </c>
      <c r="D12" s="32">
        <f>Rezultati!B44</f>
        <v>0</v>
      </c>
      <c r="E12" s="33">
        <v>32</v>
      </c>
      <c r="F12" s="33">
        <v>5887</v>
      </c>
      <c r="G12" s="34">
        <f t="shared" si="0"/>
        <v>175.96875</v>
      </c>
      <c r="H12" s="35">
        <f>Rezultati!AP44</f>
        <v>28</v>
      </c>
      <c r="I12" s="35">
        <f>Rezultati!AO44</f>
        <v>4632</v>
      </c>
      <c r="J12" s="36">
        <f t="shared" si="1"/>
        <v>157.42857142857142</v>
      </c>
      <c r="K12" s="35">
        <f t="shared" si="2"/>
        <v>60</v>
      </c>
      <c r="L12" s="35">
        <f t="shared" si="3"/>
        <v>10519</v>
      </c>
      <c r="M12" s="36">
        <f t="shared" si="4"/>
        <v>167.31666666666666</v>
      </c>
    </row>
    <row r="13" spans="1:13" ht="18.75">
      <c r="A13" s="93"/>
      <c r="B13" s="98">
        <v>3</v>
      </c>
      <c r="C13" s="32">
        <f>Rezultati!A4</f>
        <v>0</v>
      </c>
      <c r="D13" s="32">
        <f>Rezultati!B4</f>
        <v>0</v>
      </c>
      <c r="E13" s="33">
        <v>32</v>
      </c>
      <c r="F13" s="33">
        <v>5358</v>
      </c>
      <c r="G13" s="33">
        <f t="shared" si="0"/>
        <v>159.4375</v>
      </c>
      <c r="H13" s="35">
        <f>Rezultati!AP4</f>
        <v>28</v>
      </c>
      <c r="I13" s="35">
        <f>Rezultati!AO4</f>
        <v>4838</v>
      </c>
      <c r="J13" s="36">
        <f t="shared" si="1"/>
        <v>164.78571428571428</v>
      </c>
      <c r="K13" s="35">
        <f t="shared" si="2"/>
        <v>60</v>
      </c>
      <c r="L13" s="35">
        <f t="shared" si="3"/>
        <v>10196</v>
      </c>
      <c r="M13" s="36">
        <f t="shared" si="4"/>
        <v>161.93333333333334</v>
      </c>
    </row>
    <row r="14" spans="2:13" ht="18.75">
      <c r="B14" s="99">
        <v>4</v>
      </c>
      <c r="C14" s="38">
        <f>Rezultati!A26</f>
        <v>0</v>
      </c>
      <c r="D14" s="38">
        <f>Rezultati!B26</f>
        <v>0</v>
      </c>
      <c r="E14" s="39">
        <v>8</v>
      </c>
      <c r="F14" s="39">
        <v>1271</v>
      </c>
      <c r="G14" s="39">
        <f t="shared" si="0"/>
        <v>150.875</v>
      </c>
      <c r="H14" s="41">
        <f>Rezultati!AP26</f>
        <v>28</v>
      </c>
      <c r="I14" s="41">
        <f>Rezultati!AO26</f>
        <v>4564</v>
      </c>
      <c r="J14" s="42">
        <f t="shared" si="1"/>
        <v>155</v>
      </c>
      <c r="K14" s="41">
        <f t="shared" si="2"/>
        <v>36</v>
      </c>
      <c r="L14" s="41">
        <f t="shared" si="3"/>
        <v>5835</v>
      </c>
      <c r="M14" s="42">
        <f t="shared" si="4"/>
        <v>154.08333333333334</v>
      </c>
    </row>
    <row r="15" spans="2:13" ht="18.75">
      <c r="B15" s="99">
        <v>5</v>
      </c>
      <c r="C15" s="38">
        <f>Rezultati!A27</f>
        <v>0</v>
      </c>
      <c r="D15" s="38">
        <f>Rezultati!B27</f>
        <v>0</v>
      </c>
      <c r="E15" s="39">
        <v>28</v>
      </c>
      <c r="F15" s="39">
        <v>4428</v>
      </c>
      <c r="G15" s="39">
        <f t="shared" si="0"/>
        <v>150.14285714285714</v>
      </c>
      <c r="H15" s="41">
        <f>Rezultati!AP27</f>
        <v>28</v>
      </c>
      <c r="I15" s="41">
        <f>Rezultati!AO27</f>
        <v>4585</v>
      </c>
      <c r="J15" s="42">
        <f t="shared" si="1"/>
        <v>155.75</v>
      </c>
      <c r="K15" s="41">
        <f t="shared" si="2"/>
        <v>56</v>
      </c>
      <c r="L15" s="41">
        <f t="shared" si="3"/>
        <v>9013</v>
      </c>
      <c r="M15" s="42">
        <f t="shared" si="4"/>
        <v>152.94642857142858</v>
      </c>
    </row>
    <row r="16" spans="2:13" ht="18.75">
      <c r="B16" s="99">
        <v>6</v>
      </c>
      <c r="C16" s="38">
        <f>Rezultati!A31</f>
        <v>0</v>
      </c>
      <c r="D16" s="38">
        <f>Rezultati!B31</f>
        <v>0</v>
      </c>
      <c r="E16" s="39">
        <v>24</v>
      </c>
      <c r="F16" s="39">
        <v>3967</v>
      </c>
      <c r="G16" s="39">
        <f t="shared" si="0"/>
        <v>157.29166666666666</v>
      </c>
      <c r="H16" s="41">
        <f>Rezultati!AP31</f>
        <v>24</v>
      </c>
      <c r="I16" s="41">
        <f>Rezultati!AO31</f>
        <v>3567</v>
      </c>
      <c r="J16" s="42">
        <f t="shared" si="1"/>
        <v>140.625</v>
      </c>
      <c r="K16" s="41">
        <f t="shared" si="2"/>
        <v>48</v>
      </c>
      <c r="L16" s="41">
        <f t="shared" si="3"/>
        <v>7534</v>
      </c>
      <c r="M16" s="42">
        <f t="shared" si="4"/>
        <v>148.95833333333334</v>
      </c>
    </row>
    <row r="17" spans="2:13" ht="18.75">
      <c r="B17" s="100">
        <v>7</v>
      </c>
      <c r="C17" s="44">
        <f>Rezultati!A12</f>
        <v>0</v>
      </c>
      <c r="D17" s="44">
        <f>Rezultati!B12</f>
        <v>0</v>
      </c>
      <c r="E17" s="45">
        <v>12</v>
      </c>
      <c r="F17" s="45">
        <v>1743</v>
      </c>
      <c r="G17" s="45">
        <f t="shared" si="0"/>
        <v>137.25</v>
      </c>
      <c r="H17" s="47">
        <f>Rezultati!AP12</f>
        <v>24</v>
      </c>
      <c r="I17" s="47">
        <f>Rezultati!AO12</f>
        <v>3506</v>
      </c>
      <c r="J17" s="48">
        <f t="shared" si="1"/>
        <v>138.08333333333334</v>
      </c>
      <c r="K17" s="47">
        <f t="shared" si="2"/>
        <v>36</v>
      </c>
      <c r="L17" s="47">
        <f t="shared" si="3"/>
        <v>5249</v>
      </c>
      <c r="M17" s="48">
        <f t="shared" si="4"/>
        <v>137.80555555555554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5"/>
  <sheetViews>
    <sheetView zoomScale="85" zoomScaleNormal="85" workbookViewId="0" topLeftCell="A1">
      <pane xSplit="414" topLeftCell="A1" activePane="topRight" state="split"/>
      <selection pane="topLeft" activeCell="A1" sqref="A1"/>
      <selection pane="topRight" activeCell="P22" sqref="P22"/>
    </sheetView>
  </sheetViews>
  <sheetFormatPr defaultColWidth="9.140625" defaultRowHeight="12.75"/>
  <cols>
    <col min="1" max="1" width="22.7109375" style="101" customWidth="1"/>
    <col min="2" max="2" width="30.421875" style="101" customWidth="1"/>
    <col min="3" max="4" width="12.7109375" style="101" customWidth="1"/>
    <col min="5" max="5" width="5.8515625" style="101" customWidth="1"/>
    <col min="6" max="6" width="6.421875" style="101" customWidth="1"/>
    <col min="7" max="10" width="5.8515625" style="101" customWidth="1"/>
    <col min="11" max="12" width="6.421875" style="101" customWidth="1"/>
    <col min="13" max="14" width="5.8515625" style="101" customWidth="1"/>
    <col min="15" max="16" width="6.421875" style="101" customWidth="1"/>
    <col min="17" max="18" width="5.8515625" style="101" customWidth="1"/>
    <col min="19" max="20" width="6.421875" style="101" customWidth="1"/>
    <col min="21" max="22" width="5.8515625" style="101" customWidth="1"/>
    <col min="23" max="24" width="6.421875" style="101" customWidth="1"/>
    <col min="25" max="26" width="5.8515625" style="101" customWidth="1"/>
    <col min="27" max="28" width="6.421875" style="101" customWidth="1"/>
    <col min="29" max="30" width="5.8515625" style="101" customWidth="1"/>
    <col min="31" max="32" width="6.421875" style="101" customWidth="1"/>
    <col min="33" max="34" width="5.8515625" style="101" customWidth="1"/>
    <col min="35" max="36" width="6.421875" style="101" customWidth="1"/>
    <col min="37" max="40" width="0" style="101" hidden="1" customWidth="1"/>
    <col min="41" max="41" width="9.57421875" style="101" customWidth="1"/>
    <col min="42" max="42" width="8.7109375" style="102" customWidth="1"/>
    <col min="43" max="43" width="21.140625" style="102" customWidth="1"/>
    <col min="44" max="44" width="20.140625" style="102" customWidth="1"/>
    <col min="45" max="45" width="6.421875" style="101" customWidth="1"/>
    <col min="46" max="48" width="9.140625" style="101" customWidth="1"/>
    <col min="49" max="59" width="9.140625" style="102" customWidth="1"/>
    <col min="60" max="60" width="10.7109375" style="101" customWidth="1"/>
    <col min="61" max="226" width="9.140625" style="102" customWidth="1"/>
    <col min="227" max="254" width="9.140625" style="103" customWidth="1"/>
  </cols>
  <sheetData>
    <row r="1" spans="1:44" ht="12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6"/>
      <c r="AQ1" s="106"/>
      <c r="AR1" s="107"/>
    </row>
    <row r="2" spans="1:44" ht="27.75" customHeight="1">
      <c r="A2" s="108"/>
      <c r="B2" s="109"/>
      <c r="C2" s="110" t="s">
        <v>34</v>
      </c>
      <c r="D2" s="110"/>
      <c r="E2" s="111">
        <f>Rezultati!A4</f>
        <v>0</v>
      </c>
      <c r="F2" s="111"/>
      <c r="G2" s="111"/>
      <c r="H2" s="111"/>
      <c r="I2" s="112">
        <f>Rezultati!A9</f>
        <v>0</v>
      </c>
      <c r="J2" s="112"/>
      <c r="K2" s="112"/>
      <c r="L2" s="112"/>
      <c r="M2" s="112">
        <f>Rezultati!A14</f>
        <v>0</v>
      </c>
      <c r="N2" s="112"/>
      <c r="O2" s="112"/>
      <c r="P2" s="112"/>
      <c r="Q2" s="113">
        <f>Rezultati!A20</f>
        <v>0</v>
      </c>
      <c r="R2" s="113"/>
      <c r="S2" s="113"/>
      <c r="T2" s="113"/>
      <c r="U2" s="112">
        <f>Rezultati!A24</f>
        <v>0</v>
      </c>
      <c r="V2" s="112"/>
      <c r="W2" s="112"/>
      <c r="X2" s="112"/>
      <c r="Y2" s="114">
        <f>Rezultati!A30</f>
        <v>0</v>
      </c>
      <c r="Z2" s="114"/>
      <c r="AA2" s="114"/>
      <c r="AB2" s="114"/>
      <c r="AC2" s="114">
        <f>Rezultati!A35</f>
        <v>0</v>
      </c>
      <c r="AD2" s="114"/>
      <c r="AE2" s="114"/>
      <c r="AF2" s="114"/>
      <c r="AG2" s="112">
        <f>Rezultati!A40</f>
        <v>0</v>
      </c>
      <c r="AH2" s="112"/>
      <c r="AI2" s="112"/>
      <c r="AJ2" s="112"/>
      <c r="AK2" s="113">
        <f>Rezultati!A45</f>
        <v>0</v>
      </c>
      <c r="AL2" s="113"/>
      <c r="AM2" s="113"/>
      <c r="AN2" s="113"/>
      <c r="AO2" s="115" t="s">
        <v>17</v>
      </c>
      <c r="AP2" s="116" t="s">
        <v>16</v>
      </c>
      <c r="AQ2" s="117" t="s">
        <v>8</v>
      </c>
      <c r="AR2" s="118" t="s">
        <v>35</v>
      </c>
    </row>
    <row r="3" spans="1:44" ht="13.5" customHeight="1">
      <c r="A3" s="119" t="s">
        <v>2</v>
      </c>
      <c r="B3" s="120" t="s">
        <v>9</v>
      </c>
      <c r="C3" s="121" t="s">
        <v>36</v>
      </c>
      <c r="D3" s="122" t="s">
        <v>37</v>
      </c>
      <c r="E3" s="123" t="s">
        <v>38</v>
      </c>
      <c r="F3" s="123" t="s">
        <v>39</v>
      </c>
      <c r="G3" s="123" t="s">
        <v>40</v>
      </c>
      <c r="H3" s="123" t="s">
        <v>41</v>
      </c>
      <c r="I3" s="123" t="s">
        <v>38</v>
      </c>
      <c r="J3" s="123" t="s">
        <v>39</v>
      </c>
      <c r="K3" s="123" t="s">
        <v>40</v>
      </c>
      <c r="L3" s="123" t="s">
        <v>41</v>
      </c>
      <c r="M3" s="123" t="s">
        <v>38</v>
      </c>
      <c r="N3" s="123" t="s">
        <v>39</v>
      </c>
      <c r="O3" s="123" t="s">
        <v>40</v>
      </c>
      <c r="P3" s="123" t="s">
        <v>41</v>
      </c>
      <c r="Q3" s="123" t="s">
        <v>38</v>
      </c>
      <c r="R3" s="123" t="s">
        <v>39</v>
      </c>
      <c r="S3" s="123" t="s">
        <v>40</v>
      </c>
      <c r="T3" s="123" t="s">
        <v>41</v>
      </c>
      <c r="U3" s="123" t="s">
        <v>38</v>
      </c>
      <c r="V3" s="123" t="s">
        <v>39</v>
      </c>
      <c r="W3" s="123" t="s">
        <v>40</v>
      </c>
      <c r="X3" s="123" t="s">
        <v>41</v>
      </c>
      <c r="Y3" s="123" t="s">
        <v>38</v>
      </c>
      <c r="Z3" s="123" t="s">
        <v>39</v>
      </c>
      <c r="AA3" s="123" t="s">
        <v>40</v>
      </c>
      <c r="AB3" s="123" t="s">
        <v>41</v>
      </c>
      <c r="AC3" s="123" t="s">
        <v>38</v>
      </c>
      <c r="AD3" s="123" t="s">
        <v>39</v>
      </c>
      <c r="AE3" s="123" t="s">
        <v>40</v>
      </c>
      <c r="AF3" s="123" t="s">
        <v>41</v>
      </c>
      <c r="AG3" s="123" t="s">
        <v>38</v>
      </c>
      <c r="AH3" s="123" t="s">
        <v>39</v>
      </c>
      <c r="AI3" s="123" t="s">
        <v>40</v>
      </c>
      <c r="AJ3" s="123" t="s">
        <v>41</v>
      </c>
      <c r="AK3" s="123" t="s">
        <v>38</v>
      </c>
      <c r="AL3" s="123" t="s">
        <v>39</v>
      </c>
      <c r="AM3" s="123" t="s">
        <v>40</v>
      </c>
      <c r="AN3" s="123" t="s">
        <v>41</v>
      </c>
      <c r="AO3" s="115"/>
      <c r="AP3" s="116"/>
      <c r="AQ3" s="117"/>
      <c r="AR3" s="118"/>
    </row>
    <row r="4" spans="1:60" ht="16.5">
      <c r="A4" s="124" t="s">
        <v>42</v>
      </c>
      <c r="B4" s="125" t="s">
        <v>43</v>
      </c>
      <c r="C4" s="126">
        <v>8</v>
      </c>
      <c r="D4" s="127">
        <f>Rezultati!C4*Rezultati!AP4</f>
        <v>224</v>
      </c>
      <c r="E4" s="128"/>
      <c r="F4" s="128"/>
      <c r="G4" s="128"/>
      <c r="H4" s="129"/>
      <c r="I4" s="130">
        <f>194+8</f>
        <v>202</v>
      </c>
      <c r="J4" s="131">
        <f>138+8</f>
        <v>146</v>
      </c>
      <c r="K4" s="131">
        <f>159+8</f>
        <v>167</v>
      </c>
      <c r="L4" s="132">
        <f>173+8</f>
        <v>181</v>
      </c>
      <c r="M4" s="133">
        <f>164+8</f>
        <v>172</v>
      </c>
      <c r="N4" s="134">
        <f>158+8</f>
        <v>166</v>
      </c>
      <c r="O4" s="134">
        <f>145+8</f>
        <v>153</v>
      </c>
      <c r="P4" s="135">
        <f>155+8</f>
        <v>163</v>
      </c>
      <c r="Q4" s="130">
        <f>196+8</f>
        <v>204</v>
      </c>
      <c r="R4" s="131">
        <f>175+8</f>
        <v>183</v>
      </c>
      <c r="S4" s="131">
        <f>166+8</f>
        <v>174</v>
      </c>
      <c r="T4" s="132">
        <f>141+8</f>
        <v>149</v>
      </c>
      <c r="U4" s="136">
        <f>175+8</f>
        <v>183</v>
      </c>
      <c r="V4" s="131">
        <f>173+8</f>
        <v>181</v>
      </c>
      <c r="W4" s="131">
        <f>185+8</f>
        <v>193</v>
      </c>
      <c r="X4" s="137">
        <v>198</v>
      </c>
      <c r="Y4" s="130">
        <f>144+8</f>
        <v>152</v>
      </c>
      <c r="Z4" s="131">
        <f>176+8</f>
        <v>184</v>
      </c>
      <c r="AA4" s="131">
        <f>137+8</f>
        <v>145</v>
      </c>
      <c r="AB4" s="132">
        <v>168</v>
      </c>
      <c r="AC4" s="136">
        <f>161+8</f>
        <v>169</v>
      </c>
      <c r="AD4" s="131">
        <f>156+8</f>
        <v>164</v>
      </c>
      <c r="AE4" s="131">
        <v>180</v>
      </c>
      <c r="AF4" s="132">
        <f>144+8</f>
        <v>152</v>
      </c>
      <c r="AG4" s="136">
        <f>177+8</f>
        <v>185</v>
      </c>
      <c r="AH4" s="131">
        <f>165+8</f>
        <v>173</v>
      </c>
      <c r="AI4" s="131">
        <f>128+8</f>
        <v>136</v>
      </c>
      <c r="AJ4" s="137">
        <f>207+8</f>
        <v>215</v>
      </c>
      <c r="AK4" s="130"/>
      <c r="AL4" s="130"/>
      <c r="AM4" s="131"/>
      <c r="AN4" s="132"/>
      <c r="AO4" s="138">
        <f>SUM(Rezultati!E4:AN4)</f>
        <v>4838</v>
      </c>
      <c r="AP4" s="139">
        <f>COUNT(Rezultati!E4:AN4)</f>
        <v>28</v>
      </c>
      <c r="AQ4" s="140">
        <f>SUM((Rezultati!AO4+Rezultati!AO5+Rezultati!AO6+Rezultati!AO7+Rezultati!AO8)/(Rezultati!AP4+Rezultati!AP5+Rezultati!AP6+Rezultati!AP7+Rezultati!AP8))</f>
        <v>169.89285714285714</v>
      </c>
      <c r="AR4" s="141">
        <f>(Rezultati!AO4/Rezultati!AP4)-8</f>
        <v>164.78571428571428</v>
      </c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3"/>
    </row>
    <row r="5" spans="1:60" ht="16.5">
      <c r="A5" s="144" t="s">
        <v>42</v>
      </c>
      <c r="B5" s="145" t="s">
        <v>44</v>
      </c>
      <c r="C5" s="146">
        <v>0</v>
      </c>
      <c r="D5" s="127">
        <f>Rezultati!C5*Rezultati!AP5</f>
        <v>0</v>
      </c>
      <c r="E5" s="147"/>
      <c r="F5" s="147"/>
      <c r="G5" s="147"/>
      <c r="H5" s="148"/>
      <c r="I5" s="149"/>
      <c r="J5" s="150"/>
      <c r="K5" s="150"/>
      <c r="L5" s="151"/>
      <c r="M5" s="152"/>
      <c r="N5" s="153"/>
      <c r="O5" s="153"/>
      <c r="P5" s="154"/>
      <c r="Q5" s="149"/>
      <c r="R5" s="150"/>
      <c r="S5" s="150"/>
      <c r="T5" s="151"/>
      <c r="U5" s="155"/>
      <c r="V5" s="150"/>
      <c r="W5" s="150"/>
      <c r="X5" s="156"/>
      <c r="Y5" s="149"/>
      <c r="Z5" s="150"/>
      <c r="AA5" s="150"/>
      <c r="AB5" s="151"/>
      <c r="AC5" s="155"/>
      <c r="AD5" s="150"/>
      <c r="AE5" s="150"/>
      <c r="AF5" s="151"/>
      <c r="AG5" s="155"/>
      <c r="AH5" s="150"/>
      <c r="AI5" s="150"/>
      <c r="AJ5" s="156"/>
      <c r="AK5" s="149"/>
      <c r="AL5" s="149"/>
      <c r="AM5" s="150"/>
      <c r="AN5" s="151"/>
      <c r="AO5" s="138">
        <f>SUM(Rezultati!E5:AN5)</f>
        <v>0</v>
      </c>
      <c r="AP5" s="139">
        <f>COUNT(Rezultati!E5:AN5)</f>
        <v>0</v>
      </c>
      <c r="AQ5" s="140"/>
      <c r="AR5" s="141" t="e">
        <f>Rezultati!AO5/Rezultati!AP5</f>
        <v>#DIV/0!</v>
      </c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3"/>
    </row>
    <row r="6" spans="1:60" ht="16.5">
      <c r="A6" s="144" t="s">
        <v>42</v>
      </c>
      <c r="B6" s="157" t="s">
        <v>45</v>
      </c>
      <c r="C6" s="158">
        <v>0</v>
      </c>
      <c r="D6" s="127">
        <f>Rezultati!C6*Rezultati!AP6</f>
        <v>0</v>
      </c>
      <c r="E6" s="147"/>
      <c r="F6" s="147"/>
      <c r="G6" s="147"/>
      <c r="H6" s="148"/>
      <c r="I6" s="159">
        <v>179</v>
      </c>
      <c r="J6" s="160">
        <v>161</v>
      </c>
      <c r="K6" s="160">
        <v>191</v>
      </c>
      <c r="L6" s="161">
        <v>172</v>
      </c>
      <c r="M6" s="162">
        <v>196</v>
      </c>
      <c r="N6" s="163">
        <v>194</v>
      </c>
      <c r="O6" s="163">
        <v>146</v>
      </c>
      <c r="P6" s="164">
        <v>148</v>
      </c>
      <c r="Q6" s="165">
        <v>190</v>
      </c>
      <c r="R6" s="166">
        <v>180</v>
      </c>
      <c r="S6" s="166">
        <v>190</v>
      </c>
      <c r="T6" s="167">
        <v>195</v>
      </c>
      <c r="U6" s="168">
        <v>157</v>
      </c>
      <c r="V6" s="169">
        <v>141</v>
      </c>
      <c r="W6" s="169">
        <v>194</v>
      </c>
      <c r="X6" s="170">
        <v>190</v>
      </c>
      <c r="Y6" s="159">
        <v>194</v>
      </c>
      <c r="Z6" s="160">
        <v>160</v>
      </c>
      <c r="AA6" s="160">
        <v>214</v>
      </c>
      <c r="AB6" s="161">
        <v>146</v>
      </c>
      <c r="AC6" s="171">
        <v>128</v>
      </c>
      <c r="AD6" s="160">
        <v>214</v>
      </c>
      <c r="AE6" s="160">
        <v>166</v>
      </c>
      <c r="AF6" s="161">
        <v>159</v>
      </c>
      <c r="AG6" s="171">
        <v>167</v>
      </c>
      <c r="AH6" s="160">
        <v>171</v>
      </c>
      <c r="AI6" s="160">
        <v>212</v>
      </c>
      <c r="AJ6" s="172">
        <v>155</v>
      </c>
      <c r="AK6" s="159"/>
      <c r="AL6" s="159"/>
      <c r="AM6" s="160"/>
      <c r="AN6" s="161"/>
      <c r="AO6" s="138">
        <f>SUM(Rezultati!E6:AN6)</f>
        <v>4910</v>
      </c>
      <c r="AP6" s="139">
        <f>COUNT(Rezultati!E6:AN6)</f>
        <v>28</v>
      </c>
      <c r="AQ6" s="140"/>
      <c r="AR6" s="141">
        <f>Rezultati!AO6/Rezultati!AP6</f>
        <v>175.35714285714286</v>
      </c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3"/>
    </row>
    <row r="7" spans="1:60" ht="16.5">
      <c r="A7" s="144" t="s">
        <v>42</v>
      </c>
      <c r="B7" s="157" t="s">
        <v>46</v>
      </c>
      <c r="C7" s="158">
        <v>0</v>
      </c>
      <c r="D7" s="127">
        <f>Rezultati!C7*Rezultati!AP7</f>
        <v>0</v>
      </c>
      <c r="E7" s="147"/>
      <c r="F7" s="147"/>
      <c r="G7" s="147"/>
      <c r="H7" s="148"/>
      <c r="I7" s="159">
        <v>149</v>
      </c>
      <c r="J7" s="160">
        <v>180</v>
      </c>
      <c r="K7" s="160">
        <v>143</v>
      </c>
      <c r="L7" s="161">
        <v>170</v>
      </c>
      <c r="M7" s="162"/>
      <c r="N7" s="163"/>
      <c r="O7" s="163"/>
      <c r="P7" s="164"/>
      <c r="Q7" s="165"/>
      <c r="R7" s="166"/>
      <c r="S7" s="166"/>
      <c r="T7" s="167"/>
      <c r="U7" s="171"/>
      <c r="V7" s="160"/>
      <c r="W7" s="160"/>
      <c r="X7" s="172"/>
      <c r="Y7" s="159"/>
      <c r="Z7" s="160"/>
      <c r="AA7" s="160"/>
      <c r="AB7" s="161"/>
      <c r="AC7" s="171"/>
      <c r="AD7" s="160"/>
      <c r="AE7" s="160"/>
      <c r="AF7" s="161"/>
      <c r="AG7" s="171"/>
      <c r="AH7" s="160"/>
      <c r="AI7" s="160"/>
      <c r="AJ7" s="172"/>
      <c r="AK7" s="159"/>
      <c r="AL7" s="159"/>
      <c r="AM7" s="160"/>
      <c r="AN7" s="161"/>
      <c r="AO7" s="138">
        <f>SUM(Rezultati!E7:AN7)</f>
        <v>642</v>
      </c>
      <c r="AP7" s="139">
        <f>COUNT(Rezultati!E7:AN7)</f>
        <v>4</v>
      </c>
      <c r="AQ7" s="140"/>
      <c r="AR7" s="141">
        <f>Rezultati!AO7/Rezultati!AP7</f>
        <v>160.5</v>
      </c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3"/>
    </row>
    <row r="8" spans="1:60" ht="16.5">
      <c r="A8" s="144" t="s">
        <v>42</v>
      </c>
      <c r="B8" s="173" t="s">
        <v>47</v>
      </c>
      <c r="C8" s="174">
        <v>0</v>
      </c>
      <c r="D8" s="127">
        <f>Rezultati!C8*Rezultati!AP8</f>
        <v>0</v>
      </c>
      <c r="E8" s="147"/>
      <c r="F8" s="147"/>
      <c r="G8" s="147"/>
      <c r="H8" s="148"/>
      <c r="I8" s="175"/>
      <c r="J8" s="176"/>
      <c r="K8" s="176"/>
      <c r="L8" s="177"/>
      <c r="M8" s="178">
        <v>214</v>
      </c>
      <c r="N8" s="179">
        <v>151</v>
      </c>
      <c r="O8" s="179">
        <v>182</v>
      </c>
      <c r="P8" s="180">
        <v>147</v>
      </c>
      <c r="Q8" s="181">
        <v>129</v>
      </c>
      <c r="R8" s="182">
        <v>147</v>
      </c>
      <c r="S8" s="182">
        <v>135</v>
      </c>
      <c r="T8" s="183">
        <v>132</v>
      </c>
      <c r="U8" s="184">
        <v>164</v>
      </c>
      <c r="V8" s="176">
        <v>179</v>
      </c>
      <c r="W8" s="176">
        <v>145</v>
      </c>
      <c r="X8" s="185">
        <v>172</v>
      </c>
      <c r="Y8" s="186">
        <v>153</v>
      </c>
      <c r="Z8" s="187">
        <v>177</v>
      </c>
      <c r="AA8" s="187">
        <v>215</v>
      </c>
      <c r="AB8" s="188">
        <v>160</v>
      </c>
      <c r="AC8" s="186">
        <v>188</v>
      </c>
      <c r="AD8" s="187">
        <v>187</v>
      </c>
      <c r="AE8" s="187">
        <v>143</v>
      </c>
      <c r="AF8" s="188">
        <v>167</v>
      </c>
      <c r="AG8" s="184">
        <v>148</v>
      </c>
      <c r="AH8" s="176">
        <v>118</v>
      </c>
      <c r="AI8" s="176">
        <v>165</v>
      </c>
      <c r="AJ8" s="185">
        <v>163</v>
      </c>
      <c r="AK8" s="175"/>
      <c r="AL8" s="175"/>
      <c r="AM8" s="176"/>
      <c r="AN8" s="177"/>
      <c r="AO8" s="138">
        <f>SUM(Rezultati!E8:AN8)</f>
        <v>3881</v>
      </c>
      <c r="AP8" s="139">
        <f>COUNT(Rezultati!E8:AN8)</f>
        <v>24</v>
      </c>
      <c r="AQ8" s="140"/>
      <c r="AR8" s="141">
        <f>Rezultati!AO8/Rezultati!AP8</f>
        <v>161.70833333333334</v>
      </c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3"/>
    </row>
    <row r="9" spans="1:60" ht="16.5">
      <c r="A9" s="124" t="s">
        <v>27</v>
      </c>
      <c r="B9" s="189" t="s">
        <v>48</v>
      </c>
      <c r="C9" s="190">
        <v>0</v>
      </c>
      <c r="D9" s="127">
        <f>Rezultati!C9*Rezultati!AP9</f>
        <v>0</v>
      </c>
      <c r="E9" s="191"/>
      <c r="F9" s="192"/>
      <c r="G9" s="192"/>
      <c r="H9" s="193"/>
      <c r="I9" s="194"/>
      <c r="J9" s="128"/>
      <c r="K9" s="128"/>
      <c r="L9" s="129"/>
      <c r="M9" s="195">
        <v>173</v>
      </c>
      <c r="N9" s="196">
        <v>184</v>
      </c>
      <c r="O9" s="196">
        <v>149</v>
      </c>
      <c r="P9" s="197">
        <v>150</v>
      </c>
      <c r="Q9" s="198">
        <v>160</v>
      </c>
      <c r="R9" s="196">
        <v>169</v>
      </c>
      <c r="S9" s="196">
        <v>246</v>
      </c>
      <c r="T9" s="199">
        <v>180</v>
      </c>
      <c r="U9" s="195">
        <v>177</v>
      </c>
      <c r="V9" s="196">
        <v>191</v>
      </c>
      <c r="W9" s="196">
        <v>183</v>
      </c>
      <c r="X9" s="197">
        <v>114</v>
      </c>
      <c r="Y9" s="198">
        <v>177</v>
      </c>
      <c r="Z9" s="196">
        <v>163</v>
      </c>
      <c r="AA9" s="196">
        <v>172</v>
      </c>
      <c r="AB9" s="199">
        <v>137</v>
      </c>
      <c r="AC9" s="195">
        <v>149</v>
      </c>
      <c r="AD9" s="196">
        <v>212</v>
      </c>
      <c r="AE9" s="196">
        <v>211</v>
      </c>
      <c r="AF9" s="199">
        <v>180</v>
      </c>
      <c r="AG9" s="195">
        <v>172</v>
      </c>
      <c r="AH9" s="196">
        <v>137</v>
      </c>
      <c r="AI9" s="196">
        <v>188</v>
      </c>
      <c r="AJ9" s="197">
        <v>199</v>
      </c>
      <c r="AK9" s="198"/>
      <c r="AL9" s="198"/>
      <c r="AM9" s="196"/>
      <c r="AN9" s="199"/>
      <c r="AO9" s="138">
        <f>SUM(Rezultati!E9:AN9)</f>
        <v>4173</v>
      </c>
      <c r="AP9" s="139">
        <f>COUNT(Rezultati!E9:AN9)</f>
        <v>24</v>
      </c>
      <c r="AQ9" s="200">
        <f>SUM((Rezultati!AO9+Rezultati!AO10+Rezultati!AO11+Rezultati!AO12+Rezultati!AO13)/(Rezultati!AP9+Rezultati!AP10+Rezultati!AP11+Rezultati!AP12+Rezultati!AP13))</f>
        <v>162.6547619047619</v>
      </c>
      <c r="AR9" s="141">
        <f>Rezultati!AO9/Rezultati!AP9</f>
        <v>173.875</v>
      </c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3"/>
    </row>
    <row r="10" spans="1:60" ht="16.5">
      <c r="A10" s="144" t="s">
        <v>27</v>
      </c>
      <c r="B10" s="201" t="s">
        <v>49</v>
      </c>
      <c r="C10" s="202">
        <v>0</v>
      </c>
      <c r="D10" s="127">
        <f>Rezultati!C10*Rezultati!AP10</f>
        <v>0</v>
      </c>
      <c r="E10" s="203">
        <v>177</v>
      </c>
      <c r="F10" s="204">
        <v>175</v>
      </c>
      <c r="G10" s="204">
        <v>151</v>
      </c>
      <c r="H10" s="205">
        <v>180</v>
      </c>
      <c r="I10" s="206"/>
      <c r="J10" s="147"/>
      <c r="K10" s="147"/>
      <c r="L10" s="148"/>
      <c r="M10" s="207"/>
      <c r="N10" s="208"/>
      <c r="O10" s="208"/>
      <c r="P10" s="209"/>
      <c r="Q10" s="210"/>
      <c r="R10" s="208"/>
      <c r="S10" s="208"/>
      <c r="T10" s="211"/>
      <c r="U10" s="207"/>
      <c r="V10" s="208"/>
      <c r="W10" s="208"/>
      <c r="X10" s="209"/>
      <c r="Y10" s="210">
        <v>177</v>
      </c>
      <c r="Z10" s="208">
        <v>109</v>
      </c>
      <c r="AA10" s="208">
        <v>188</v>
      </c>
      <c r="AB10" s="211">
        <v>116</v>
      </c>
      <c r="AC10" s="207"/>
      <c r="AD10" s="208"/>
      <c r="AE10" s="208"/>
      <c r="AF10" s="211"/>
      <c r="AG10" s="207">
        <v>146</v>
      </c>
      <c r="AH10" s="208">
        <v>202</v>
      </c>
      <c r="AI10" s="208">
        <v>169</v>
      </c>
      <c r="AJ10" s="209">
        <v>129</v>
      </c>
      <c r="AK10" s="210"/>
      <c r="AL10" s="210"/>
      <c r="AM10" s="208"/>
      <c r="AN10" s="211"/>
      <c r="AO10" s="138">
        <f>SUM(Rezultati!E10:AN10)</f>
        <v>1919</v>
      </c>
      <c r="AP10" s="139">
        <f>COUNT(Rezultati!E10:AN10)</f>
        <v>12</v>
      </c>
      <c r="AQ10" s="200"/>
      <c r="AR10" s="141">
        <f>Rezultati!AO10/Rezultati!AP10</f>
        <v>159.91666666666666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3"/>
    </row>
    <row r="11" spans="1:60" ht="16.5">
      <c r="A11" s="144" t="s">
        <v>27</v>
      </c>
      <c r="B11" s="157" t="s">
        <v>50</v>
      </c>
      <c r="C11" s="212">
        <v>0</v>
      </c>
      <c r="D11" s="127">
        <f>Rezultati!C11*Rezultati!AP11</f>
        <v>0</v>
      </c>
      <c r="E11" s="213">
        <v>226</v>
      </c>
      <c r="F11" s="214">
        <v>178</v>
      </c>
      <c r="G11" s="214">
        <v>200</v>
      </c>
      <c r="H11" s="215">
        <v>153</v>
      </c>
      <c r="I11" s="206"/>
      <c r="J11" s="147"/>
      <c r="K11" s="147"/>
      <c r="L11" s="148"/>
      <c r="M11" s="216">
        <v>165</v>
      </c>
      <c r="N11" s="217">
        <v>186</v>
      </c>
      <c r="O11" s="217">
        <v>154</v>
      </c>
      <c r="P11" s="218">
        <v>185</v>
      </c>
      <c r="Q11" s="219">
        <v>182</v>
      </c>
      <c r="R11" s="217">
        <v>165</v>
      </c>
      <c r="S11" s="217">
        <v>143</v>
      </c>
      <c r="T11" s="220">
        <v>228</v>
      </c>
      <c r="U11" s="216">
        <v>146</v>
      </c>
      <c r="V11" s="217">
        <v>168</v>
      </c>
      <c r="W11" s="217">
        <v>213</v>
      </c>
      <c r="X11" s="218">
        <v>152</v>
      </c>
      <c r="Y11" s="219"/>
      <c r="Z11" s="217"/>
      <c r="AA11" s="217"/>
      <c r="AB11" s="220"/>
      <c r="AC11" s="216">
        <v>142</v>
      </c>
      <c r="AD11" s="217">
        <v>183</v>
      </c>
      <c r="AE11" s="217">
        <v>209</v>
      </c>
      <c r="AF11" s="220">
        <v>137</v>
      </c>
      <c r="AG11" s="216"/>
      <c r="AH11" s="217"/>
      <c r="AI11" s="217"/>
      <c r="AJ11" s="218"/>
      <c r="AK11" s="219"/>
      <c r="AL11" s="219"/>
      <c r="AM11" s="217"/>
      <c r="AN11" s="220"/>
      <c r="AO11" s="138">
        <f>SUM(Rezultati!E11:AN11)</f>
        <v>3515</v>
      </c>
      <c r="AP11" s="139">
        <f>COUNT(Rezultati!E11:AN11)</f>
        <v>20</v>
      </c>
      <c r="AQ11" s="200"/>
      <c r="AR11" s="141">
        <f>Rezultati!AO11/Rezultati!AP11</f>
        <v>175.75</v>
      </c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3"/>
    </row>
    <row r="12" spans="1:60" ht="16.5">
      <c r="A12" s="144" t="s">
        <v>27</v>
      </c>
      <c r="B12" s="157" t="s">
        <v>51</v>
      </c>
      <c r="C12" s="158">
        <v>8</v>
      </c>
      <c r="D12" s="127">
        <f>Rezultati!C12*Rezultati!AP12</f>
        <v>192</v>
      </c>
      <c r="E12" s="213">
        <v>130</v>
      </c>
      <c r="F12" s="214">
        <v>130</v>
      </c>
      <c r="G12" s="214">
        <f>146+8</f>
        <v>154</v>
      </c>
      <c r="H12" s="215">
        <v>150</v>
      </c>
      <c r="I12" s="206"/>
      <c r="J12" s="147"/>
      <c r="K12" s="147"/>
      <c r="L12" s="148"/>
      <c r="M12" s="216"/>
      <c r="N12" s="217"/>
      <c r="O12" s="217"/>
      <c r="P12" s="218"/>
      <c r="Q12" s="219">
        <f>171+8</f>
        <v>179</v>
      </c>
      <c r="R12" s="217">
        <f>128+8</f>
        <v>136</v>
      </c>
      <c r="S12" s="217">
        <f>156+8</f>
        <v>164</v>
      </c>
      <c r="T12" s="220">
        <f>119+8</f>
        <v>127</v>
      </c>
      <c r="U12" s="216">
        <f>131+8</f>
        <v>139</v>
      </c>
      <c r="V12" s="217">
        <f>154+8</f>
        <v>162</v>
      </c>
      <c r="W12" s="217">
        <f>121+8</f>
        <v>129</v>
      </c>
      <c r="X12" s="218">
        <v>148</v>
      </c>
      <c r="Y12" s="219">
        <f>136+8</f>
        <v>144</v>
      </c>
      <c r="Z12" s="217">
        <f>148+8</f>
        <v>156</v>
      </c>
      <c r="AA12" s="217">
        <v>140</v>
      </c>
      <c r="AB12" s="220">
        <f>118+8</f>
        <v>126</v>
      </c>
      <c r="AC12" s="216">
        <f>212+8</f>
        <v>220</v>
      </c>
      <c r="AD12" s="217">
        <f>139+8</f>
        <v>147</v>
      </c>
      <c r="AE12" s="217">
        <f>105+8</f>
        <v>113</v>
      </c>
      <c r="AF12" s="220">
        <v>138</v>
      </c>
      <c r="AG12" s="216">
        <f>127+8</f>
        <v>135</v>
      </c>
      <c r="AH12" s="217">
        <f>103+8</f>
        <v>111</v>
      </c>
      <c r="AI12" s="217">
        <f>135+8</f>
        <v>143</v>
      </c>
      <c r="AJ12" s="218">
        <f>177+8</f>
        <v>185</v>
      </c>
      <c r="AK12" s="219"/>
      <c r="AL12" s="219"/>
      <c r="AM12" s="217"/>
      <c r="AN12" s="220"/>
      <c r="AO12" s="138">
        <f>SUM(Rezultati!E12:AN12)</f>
        <v>3506</v>
      </c>
      <c r="AP12" s="139">
        <f>COUNT(Rezultati!E12:AN12)</f>
        <v>24</v>
      </c>
      <c r="AQ12" s="200"/>
      <c r="AR12" s="141">
        <f>(Rezultati!AO12/Rezultati!AP12)-8</f>
        <v>138.08333333333334</v>
      </c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3"/>
    </row>
    <row r="13" spans="1:60" ht="16.5">
      <c r="A13" s="221" t="s">
        <v>27</v>
      </c>
      <c r="B13" s="222" t="s">
        <v>52</v>
      </c>
      <c r="C13" s="223">
        <v>0</v>
      </c>
      <c r="D13" s="127">
        <f>Rezultati!C13*Rezultati!AP13</f>
        <v>0</v>
      </c>
      <c r="E13" s="224"/>
      <c r="F13" s="225"/>
      <c r="G13" s="225"/>
      <c r="H13" s="226"/>
      <c r="I13" s="206"/>
      <c r="J13" s="147"/>
      <c r="K13" s="147"/>
      <c r="L13" s="148"/>
      <c r="M13" s="184">
        <v>126</v>
      </c>
      <c r="N13" s="176">
        <v>142</v>
      </c>
      <c r="O13" s="176">
        <v>146</v>
      </c>
      <c r="P13" s="185">
        <v>136</v>
      </c>
      <c r="Q13" s="175"/>
      <c r="R13" s="176"/>
      <c r="S13" s="176"/>
      <c r="T13" s="177"/>
      <c r="U13" s="184"/>
      <c r="V13" s="176"/>
      <c r="W13" s="176"/>
      <c r="X13" s="185"/>
      <c r="Y13" s="175"/>
      <c r="Z13" s="176"/>
      <c r="AA13" s="176"/>
      <c r="AB13" s="177"/>
      <c r="AC13" s="227"/>
      <c r="AD13" s="176"/>
      <c r="AE13" s="176"/>
      <c r="AF13" s="177"/>
      <c r="AG13" s="184"/>
      <c r="AH13" s="176"/>
      <c r="AI13" s="176"/>
      <c r="AJ13" s="185"/>
      <c r="AK13" s="175"/>
      <c r="AL13" s="175"/>
      <c r="AM13" s="176"/>
      <c r="AN13" s="177"/>
      <c r="AO13" s="138">
        <f>SUM(Rezultati!E13:AN13)</f>
        <v>550</v>
      </c>
      <c r="AP13" s="139">
        <f>COUNT(Rezultati!E13:AN13)</f>
        <v>4</v>
      </c>
      <c r="AQ13" s="200"/>
      <c r="AR13" s="141">
        <f>Rezultati!AO13/Rezultati!AP13</f>
        <v>137.5</v>
      </c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3"/>
    </row>
    <row r="14" spans="1:60" ht="16.5">
      <c r="A14" s="124" t="s">
        <v>28</v>
      </c>
      <c r="B14" s="125" t="s">
        <v>53</v>
      </c>
      <c r="C14" s="126">
        <v>8</v>
      </c>
      <c r="D14" s="127">
        <f>Rezultati!C14*Rezultati!AP14</f>
        <v>160</v>
      </c>
      <c r="E14" s="198">
        <f>8+205</f>
        <v>213</v>
      </c>
      <c r="F14" s="196">
        <f>164+8</f>
        <v>172</v>
      </c>
      <c r="G14" s="196">
        <f>199+8</f>
        <v>207</v>
      </c>
      <c r="H14" s="199">
        <f>187+8</f>
        <v>195</v>
      </c>
      <c r="I14" s="195">
        <f>161+8</f>
        <v>169</v>
      </c>
      <c r="J14" s="196">
        <f>165+8</f>
        <v>173</v>
      </c>
      <c r="K14" s="196">
        <v>128</v>
      </c>
      <c r="L14" s="197">
        <f>190+8</f>
        <v>198</v>
      </c>
      <c r="M14" s="194"/>
      <c r="N14" s="128"/>
      <c r="O14" s="128"/>
      <c r="P14" s="129"/>
      <c r="Q14" s="198"/>
      <c r="R14" s="196"/>
      <c r="S14" s="196"/>
      <c r="T14" s="199"/>
      <c r="U14" s="195">
        <f>121+8</f>
        <v>129</v>
      </c>
      <c r="V14" s="196">
        <f>128+8</f>
        <v>136</v>
      </c>
      <c r="W14" s="196"/>
      <c r="X14" s="197"/>
      <c r="Y14" s="198">
        <v>178</v>
      </c>
      <c r="Z14" s="196">
        <v>208</v>
      </c>
      <c r="AA14" s="196">
        <v>210</v>
      </c>
      <c r="AB14" s="199">
        <f>163+8</f>
        <v>171</v>
      </c>
      <c r="AC14" s="195">
        <f>185+8</f>
        <v>193</v>
      </c>
      <c r="AD14" s="196">
        <f>148+8</f>
        <v>156</v>
      </c>
      <c r="AE14" s="196"/>
      <c r="AF14" s="199"/>
      <c r="AG14" s="195">
        <f>181+8</f>
        <v>189</v>
      </c>
      <c r="AH14" s="196">
        <f>145+8</f>
        <v>153</v>
      </c>
      <c r="AI14" s="196">
        <f>146+8</f>
        <v>154</v>
      </c>
      <c r="AJ14" s="197">
        <f>186+8</f>
        <v>194</v>
      </c>
      <c r="AK14" s="198"/>
      <c r="AL14" s="198"/>
      <c r="AM14" s="196"/>
      <c r="AN14" s="199"/>
      <c r="AO14" s="138">
        <f>SUM(Rezultati!E14:AN14)</f>
        <v>3526</v>
      </c>
      <c r="AP14" s="139">
        <f>COUNT(Rezultati!E14:AN14)</f>
        <v>20</v>
      </c>
      <c r="AQ14" s="200">
        <f>SUM((Rezultati!AO14+Rezultati!AO15+Rezultati!AO16+Rezultati!AO17+Rezultati!AO18)/(Rezultati!AP14+Rezultati!AP15+Rezultati!AP16+Rezultati!AP17+Rezultati!AP18))</f>
        <v>173.23809523809524</v>
      </c>
      <c r="AR14" s="141">
        <f>Rezultati!AO14/Rezultati!AP14-8</f>
        <v>168.3</v>
      </c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3"/>
    </row>
    <row r="15" spans="1:60" ht="16.5">
      <c r="A15" s="144" t="s">
        <v>28</v>
      </c>
      <c r="B15" s="228" t="s">
        <v>54</v>
      </c>
      <c r="C15" s="158">
        <v>0</v>
      </c>
      <c r="D15" s="127">
        <f>Rezultati!C15*Rezultati!AP15</f>
        <v>0</v>
      </c>
      <c r="E15" s="219">
        <v>115</v>
      </c>
      <c r="F15" s="217">
        <v>153</v>
      </c>
      <c r="G15" s="217">
        <v>182</v>
      </c>
      <c r="H15" s="220">
        <v>125</v>
      </c>
      <c r="I15" s="216">
        <v>168</v>
      </c>
      <c r="J15" s="217">
        <v>168</v>
      </c>
      <c r="K15" s="217">
        <v>207</v>
      </c>
      <c r="L15" s="218">
        <v>199</v>
      </c>
      <c r="M15" s="206"/>
      <c r="N15" s="147"/>
      <c r="O15" s="147"/>
      <c r="P15" s="148"/>
      <c r="Q15" s="219">
        <v>157</v>
      </c>
      <c r="R15" s="217">
        <v>148</v>
      </c>
      <c r="S15" s="217">
        <v>180</v>
      </c>
      <c r="T15" s="220">
        <v>157</v>
      </c>
      <c r="U15" s="216"/>
      <c r="V15" s="217">
        <v>157</v>
      </c>
      <c r="W15" s="217">
        <v>165</v>
      </c>
      <c r="X15" s="218">
        <v>191</v>
      </c>
      <c r="Y15" s="219">
        <v>161</v>
      </c>
      <c r="Z15" s="217">
        <v>124</v>
      </c>
      <c r="AA15" s="217">
        <v>194</v>
      </c>
      <c r="AB15" s="220">
        <v>168</v>
      </c>
      <c r="AC15" s="216"/>
      <c r="AD15" s="217"/>
      <c r="AE15" s="217">
        <v>149</v>
      </c>
      <c r="AF15" s="220">
        <v>190</v>
      </c>
      <c r="AG15" s="216">
        <v>198</v>
      </c>
      <c r="AH15" s="217">
        <v>152</v>
      </c>
      <c r="AI15" s="217">
        <v>190</v>
      </c>
      <c r="AJ15" s="218">
        <v>193</v>
      </c>
      <c r="AK15" s="219"/>
      <c r="AL15" s="219"/>
      <c r="AM15" s="217"/>
      <c r="AN15" s="220"/>
      <c r="AO15" s="138">
        <f>SUM(Rezultati!E15:AN15)</f>
        <v>4191</v>
      </c>
      <c r="AP15" s="139">
        <f>COUNT(Rezultati!E15:AN15)</f>
        <v>25</v>
      </c>
      <c r="AQ15" s="200"/>
      <c r="AR15" s="141">
        <f>(Rezultati!AO15/Rezultati!AP15)</f>
        <v>167.64</v>
      </c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3"/>
    </row>
    <row r="16" spans="1:60" ht="16.5">
      <c r="A16" s="144" t="s">
        <v>28</v>
      </c>
      <c r="B16" s="228" t="s">
        <v>55</v>
      </c>
      <c r="C16" s="158">
        <v>0</v>
      </c>
      <c r="D16" s="127">
        <f>Rezultati!C16*Rezultati!AP16</f>
        <v>0</v>
      </c>
      <c r="E16" s="219">
        <v>141</v>
      </c>
      <c r="F16" s="217">
        <v>206</v>
      </c>
      <c r="G16" s="217">
        <v>153</v>
      </c>
      <c r="H16" s="220">
        <v>181</v>
      </c>
      <c r="I16" s="216">
        <v>156</v>
      </c>
      <c r="J16" s="217">
        <v>198</v>
      </c>
      <c r="K16" s="217">
        <v>177</v>
      </c>
      <c r="L16" s="218">
        <v>158</v>
      </c>
      <c r="M16" s="206"/>
      <c r="N16" s="147"/>
      <c r="O16" s="147"/>
      <c r="P16" s="148"/>
      <c r="Q16" s="219">
        <v>185</v>
      </c>
      <c r="R16" s="217">
        <v>194</v>
      </c>
      <c r="S16" s="217">
        <v>157</v>
      </c>
      <c r="T16" s="220">
        <v>192</v>
      </c>
      <c r="U16" s="216">
        <v>138</v>
      </c>
      <c r="V16" s="217"/>
      <c r="W16" s="217">
        <v>169</v>
      </c>
      <c r="X16" s="218">
        <v>163</v>
      </c>
      <c r="Y16" s="219"/>
      <c r="Z16" s="217"/>
      <c r="AA16" s="217"/>
      <c r="AB16" s="220"/>
      <c r="AC16" s="216">
        <v>200</v>
      </c>
      <c r="AD16" s="217">
        <v>215</v>
      </c>
      <c r="AE16" s="217">
        <v>213</v>
      </c>
      <c r="AF16" s="220">
        <v>174</v>
      </c>
      <c r="AG16" s="216"/>
      <c r="AH16" s="217"/>
      <c r="AI16" s="217"/>
      <c r="AJ16" s="218"/>
      <c r="AK16" s="219"/>
      <c r="AL16" s="219"/>
      <c r="AM16" s="217"/>
      <c r="AN16" s="220"/>
      <c r="AO16" s="138">
        <f>SUM(Rezultati!E16:AN16)</f>
        <v>3370</v>
      </c>
      <c r="AP16" s="139">
        <f>COUNT(Rezultati!E16:AN16)</f>
        <v>19</v>
      </c>
      <c r="AQ16" s="200"/>
      <c r="AR16" s="141">
        <f>(Rezultati!AO16/Rezultati!AP16)</f>
        <v>177.3684210526316</v>
      </c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3"/>
    </row>
    <row r="17" spans="1:60" ht="16.5">
      <c r="A17" s="144" t="s">
        <v>28</v>
      </c>
      <c r="B17" s="228" t="s">
        <v>56</v>
      </c>
      <c r="C17" s="158">
        <v>0</v>
      </c>
      <c r="D17" s="127">
        <f>Rezultati!C17*Rezultati!AP17</f>
        <v>0</v>
      </c>
      <c r="E17" s="219"/>
      <c r="F17" s="217"/>
      <c r="G17" s="217"/>
      <c r="H17" s="220"/>
      <c r="I17" s="216"/>
      <c r="J17" s="217"/>
      <c r="K17" s="217"/>
      <c r="L17" s="218"/>
      <c r="M17" s="206"/>
      <c r="N17" s="147"/>
      <c r="O17" s="147"/>
      <c r="P17" s="148"/>
      <c r="Q17" s="219"/>
      <c r="R17" s="217"/>
      <c r="S17" s="217"/>
      <c r="T17" s="220"/>
      <c r="U17" s="216">
        <v>160</v>
      </c>
      <c r="V17" s="217">
        <v>193</v>
      </c>
      <c r="W17" s="217">
        <v>149</v>
      </c>
      <c r="X17" s="218">
        <v>164</v>
      </c>
      <c r="Y17" s="219">
        <v>146</v>
      </c>
      <c r="Z17" s="217">
        <v>142</v>
      </c>
      <c r="AA17" s="217">
        <v>150</v>
      </c>
      <c r="AB17" s="220">
        <v>188</v>
      </c>
      <c r="AC17" s="216">
        <v>206</v>
      </c>
      <c r="AD17" s="217">
        <v>188</v>
      </c>
      <c r="AE17" s="217">
        <v>217</v>
      </c>
      <c r="AF17" s="220">
        <v>177</v>
      </c>
      <c r="AG17" s="216">
        <v>197</v>
      </c>
      <c r="AH17" s="217">
        <v>134</v>
      </c>
      <c r="AI17" s="217">
        <v>174</v>
      </c>
      <c r="AJ17" s="218">
        <v>171</v>
      </c>
      <c r="AK17" s="219"/>
      <c r="AL17" s="219"/>
      <c r="AM17" s="217"/>
      <c r="AN17" s="220"/>
      <c r="AO17" s="138">
        <f>SUM(Rezultati!E17:AN17)</f>
        <v>2756</v>
      </c>
      <c r="AP17" s="139">
        <f>COUNT(Rezultati!E17:AN17)</f>
        <v>16</v>
      </c>
      <c r="AQ17" s="200"/>
      <c r="AR17" s="141">
        <f>Rezultati!AO17/Rezultati!AP17</f>
        <v>172.25</v>
      </c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3"/>
    </row>
    <row r="18" spans="1:60" ht="16.5">
      <c r="A18" s="229" t="s">
        <v>28</v>
      </c>
      <c r="B18" s="230" t="s">
        <v>57</v>
      </c>
      <c r="C18" s="231">
        <v>0</v>
      </c>
      <c r="D18" s="127">
        <f>Rezultati!C18*Rezultati!AP18</f>
        <v>0</v>
      </c>
      <c r="E18" s="232"/>
      <c r="F18" s="233"/>
      <c r="G18" s="233"/>
      <c r="H18" s="234"/>
      <c r="I18" s="227"/>
      <c r="J18" s="233"/>
      <c r="K18" s="233"/>
      <c r="L18" s="235"/>
      <c r="M18" s="236"/>
      <c r="N18" s="237"/>
      <c r="O18" s="237"/>
      <c r="P18" s="238"/>
      <c r="Q18" s="232">
        <v>170</v>
      </c>
      <c r="R18" s="233">
        <v>183</v>
      </c>
      <c r="S18" s="233">
        <v>168</v>
      </c>
      <c r="T18" s="234">
        <v>188</v>
      </c>
      <c r="U18" s="227"/>
      <c r="V18" s="233"/>
      <c r="W18" s="233"/>
      <c r="X18" s="235"/>
      <c r="Y18" s="232"/>
      <c r="Z18" s="233"/>
      <c r="AA18" s="233"/>
      <c r="AB18" s="234"/>
      <c r="AC18" s="227"/>
      <c r="AD18" s="233"/>
      <c r="AE18" s="233"/>
      <c r="AF18" s="234"/>
      <c r="AG18" s="227"/>
      <c r="AH18" s="233"/>
      <c r="AI18" s="233"/>
      <c r="AJ18" s="235"/>
      <c r="AK18" s="232"/>
      <c r="AL18" s="232"/>
      <c r="AM18" s="233"/>
      <c r="AN18" s="234"/>
      <c r="AO18" s="138">
        <f>SUM(Rezultati!E18:AN18)</f>
        <v>709</v>
      </c>
      <c r="AP18" s="139">
        <f>COUNT(Rezultati!E18:AN18)</f>
        <v>4</v>
      </c>
      <c r="AQ18" s="200"/>
      <c r="AR18" s="141">
        <f>Rezultati!AO18/Rezultati!AP18</f>
        <v>177.25</v>
      </c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3"/>
    </row>
    <row r="19" spans="1:60" ht="16.5">
      <c r="A19" s="239" t="s">
        <v>29</v>
      </c>
      <c r="B19" s="145" t="s">
        <v>58</v>
      </c>
      <c r="C19" s="146">
        <v>0</v>
      </c>
      <c r="D19" s="127">
        <f>Rezultati!C19*Rezultati!AP19</f>
        <v>0</v>
      </c>
      <c r="E19" s="210">
        <v>128</v>
      </c>
      <c r="F19" s="208">
        <v>178</v>
      </c>
      <c r="G19" s="208">
        <v>164</v>
      </c>
      <c r="H19" s="211">
        <v>185</v>
      </c>
      <c r="I19" s="240">
        <v>188</v>
      </c>
      <c r="J19" s="204">
        <v>170</v>
      </c>
      <c r="K19" s="204">
        <v>208</v>
      </c>
      <c r="L19" s="241">
        <v>213</v>
      </c>
      <c r="M19" s="207">
        <v>192</v>
      </c>
      <c r="N19" s="208">
        <v>143</v>
      </c>
      <c r="O19" s="208">
        <v>176</v>
      </c>
      <c r="P19" s="209">
        <v>171</v>
      </c>
      <c r="Q19" s="206"/>
      <c r="R19" s="147"/>
      <c r="S19" s="147"/>
      <c r="T19" s="148"/>
      <c r="U19" s="210">
        <v>147</v>
      </c>
      <c r="V19" s="208">
        <v>160</v>
      </c>
      <c r="W19" s="208">
        <v>184</v>
      </c>
      <c r="X19" s="209">
        <v>192</v>
      </c>
      <c r="Y19" s="210">
        <v>145</v>
      </c>
      <c r="Z19" s="208">
        <v>131</v>
      </c>
      <c r="AA19" s="208">
        <v>172</v>
      </c>
      <c r="AB19" s="211">
        <v>149</v>
      </c>
      <c r="AC19" s="195"/>
      <c r="AD19" s="208"/>
      <c r="AE19" s="208"/>
      <c r="AF19" s="211"/>
      <c r="AG19" s="207">
        <v>184</v>
      </c>
      <c r="AH19" s="208">
        <v>167</v>
      </c>
      <c r="AI19" s="208">
        <v>176</v>
      </c>
      <c r="AJ19" s="209">
        <v>151</v>
      </c>
      <c r="AK19" s="210"/>
      <c r="AL19" s="210"/>
      <c r="AM19" s="208"/>
      <c r="AN19" s="211"/>
      <c r="AO19" s="138">
        <f>SUM(Rezultati!E19:AN19)</f>
        <v>4074</v>
      </c>
      <c r="AP19" s="139">
        <f>COUNT(Rezultati!E19:AN19)</f>
        <v>24</v>
      </c>
      <c r="AQ19" s="200">
        <f>SUM((Rezultati!AO19+Rezultati!AO20+Rezultati!AO21+Rezultati!AO22+Rezultati!AO23)/(Rezultati!AP19+Rezultati!AP20+Rezultati!AP21+Rezultati!AP22+Rezultati!AP23))</f>
        <v>173.7</v>
      </c>
      <c r="AR19" s="141">
        <f>(Rezultati!AO19/Rezultati!AP19)</f>
        <v>169.75</v>
      </c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3"/>
    </row>
    <row r="20" spans="1:60" ht="16.5">
      <c r="A20" s="242" t="s">
        <v>29</v>
      </c>
      <c r="B20" s="228" t="s">
        <v>59</v>
      </c>
      <c r="C20" s="158">
        <v>0</v>
      </c>
      <c r="D20" s="127">
        <f>Rezultati!C20*Rezultati!AP20</f>
        <v>0</v>
      </c>
      <c r="E20" s="219">
        <v>129</v>
      </c>
      <c r="F20" s="217">
        <v>147</v>
      </c>
      <c r="G20" s="217">
        <v>135</v>
      </c>
      <c r="H20" s="220">
        <v>176</v>
      </c>
      <c r="I20" s="243">
        <v>226</v>
      </c>
      <c r="J20" s="214">
        <v>226</v>
      </c>
      <c r="K20" s="214">
        <v>180</v>
      </c>
      <c r="L20" s="244">
        <v>203</v>
      </c>
      <c r="M20" s="216">
        <v>152</v>
      </c>
      <c r="N20" s="217">
        <v>147</v>
      </c>
      <c r="O20" s="217">
        <v>189</v>
      </c>
      <c r="P20" s="218">
        <v>192</v>
      </c>
      <c r="Q20" s="206"/>
      <c r="R20" s="147"/>
      <c r="S20" s="147"/>
      <c r="T20" s="148"/>
      <c r="U20" s="219">
        <v>181</v>
      </c>
      <c r="V20" s="217">
        <v>180</v>
      </c>
      <c r="W20" s="217">
        <v>153</v>
      </c>
      <c r="X20" s="218">
        <v>131</v>
      </c>
      <c r="Y20" s="219"/>
      <c r="Z20" s="217"/>
      <c r="AA20" s="217"/>
      <c r="AB20" s="220"/>
      <c r="AC20" s="216"/>
      <c r="AD20" s="217"/>
      <c r="AE20" s="217"/>
      <c r="AF20" s="220"/>
      <c r="AG20" s="216"/>
      <c r="AH20" s="217"/>
      <c r="AI20" s="217"/>
      <c r="AJ20" s="218"/>
      <c r="AK20" s="219"/>
      <c r="AL20" s="219"/>
      <c r="AM20" s="217"/>
      <c r="AN20" s="220"/>
      <c r="AO20" s="138">
        <f>SUM(Rezultati!E20:AN20)</f>
        <v>2747</v>
      </c>
      <c r="AP20" s="139">
        <f>COUNT(Rezultati!E20:AN20)</f>
        <v>16</v>
      </c>
      <c r="AQ20" s="200"/>
      <c r="AR20" s="141">
        <f>Rezultati!AO20/Rezultati!AP20</f>
        <v>171.6875</v>
      </c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3"/>
    </row>
    <row r="21" spans="1:60" ht="16.5">
      <c r="A21" s="242" t="s">
        <v>29</v>
      </c>
      <c r="B21" s="157" t="s">
        <v>60</v>
      </c>
      <c r="C21" s="158">
        <v>0</v>
      </c>
      <c r="D21" s="127">
        <f>Rezultati!C21*Rezultati!AP21</f>
        <v>0</v>
      </c>
      <c r="E21" s="245">
        <v>181</v>
      </c>
      <c r="F21" s="246">
        <v>149</v>
      </c>
      <c r="G21" s="246">
        <v>159</v>
      </c>
      <c r="H21" s="247">
        <v>192</v>
      </c>
      <c r="I21" s="243">
        <v>143</v>
      </c>
      <c r="J21" s="214">
        <v>169</v>
      </c>
      <c r="K21" s="214">
        <v>181</v>
      </c>
      <c r="L21" s="244">
        <v>162</v>
      </c>
      <c r="M21" s="216">
        <v>152</v>
      </c>
      <c r="N21" s="217">
        <v>155</v>
      </c>
      <c r="O21" s="217">
        <v>216</v>
      </c>
      <c r="P21" s="218">
        <v>212</v>
      </c>
      <c r="Q21" s="206"/>
      <c r="R21" s="147"/>
      <c r="S21" s="147"/>
      <c r="T21" s="148"/>
      <c r="U21" s="219">
        <v>147</v>
      </c>
      <c r="V21" s="217">
        <v>169</v>
      </c>
      <c r="W21" s="217">
        <v>170</v>
      </c>
      <c r="X21" s="218">
        <v>171</v>
      </c>
      <c r="Y21" s="219">
        <v>173</v>
      </c>
      <c r="Z21" s="217">
        <v>192</v>
      </c>
      <c r="AA21" s="217">
        <v>130</v>
      </c>
      <c r="AB21" s="220">
        <v>177</v>
      </c>
      <c r="AC21" s="216">
        <v>208</v>
      </c>
      <c r="AD21" s="217">
        <v>183</v>
      </c>
      <c r="AE21" s="217">
        <v>166</v>
      </c>
      <c r="AF21" s="220">
        <v>157</v>
      </c>
      <c r="AG21" s="216">
        <v>156</v>
      </c>
      <c r="AH21" s="217">
        <v>156</v>
      </c>
      <c r="AI21" s="217">
        <v>153</v>
      </c>
      <c r="AJ21" s="218">
        <v>186</v>
      </c>
      <c r="AK21" s="219"/>
      <c r="AL21" s="219"/>
      <c r="AM21" s="217"/>
      <c r="AN21" s="220"/>
      <c r="AO21" s="248">
        <f>SUM(Rezultati!E21:AN21)</f>
        <v>4765</v>
      </c>
      <c r="AP21" s="249">
        <f>COUNT(Rezultati!E21:AN21)</f>
        <v>28</v>
      </c>
      <c r="AQ21" s="200"/>
      <c r="AR21" s="141">
        <f>Rezultati!AO21/Rezultati!AP21</f>
        <v>170.17857142857142</v>
      </c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3"/>
    </row>
    <row r="22" spans="1:60" ht="16.5">
      <c r="A22" s="242" t="s">
        <v>29</v>
      </c>
      <c r="B22" s="228" t="s">
        <v>61</v>
      </c>
      <c r="C22" s="212">
        <v>0</v>
      </c>
      <c r="D22" s="127">
        <f>Rezultati!C22*Rezultati!AP22</f>
        <v>0</v>
      </c>
      <c r="E22" s="245"/>
      <c r="F22" s="246"/>
      <c r="G22" s="246"/>
      <c r="H22" s="247"/>
      <c r="I22" s="216"/>
      <c r="J22" s="217"/>
      <c r="K22" s="217"/>
      <c r="L22" s="218"/>
      <c r="M22" s="216"/>
      <c r="N22" s="217"/>
      <c r="O22" s="217"/>
      <c r="P22" s="218"/>
      <c r="Q22" s="206"/>
      <c r="R22" s="147"/>
      <c r="S22" s="147"/>
      <c r="T22" s="148"/>
      <c r="U22" s="219"/>
      <c r="V22" s="217"/>
      <c r="W22" s="217"/>
      <c r="X22" s="218"/>
      <c r="Y22" s="219">
        <v>144</v>
      </c>
      <c r="Z22" s="217">
        <v>99</v>
      </c>
      <c r="AA22" s="217">
        <v>171</v>
      </c>
      <c r="AB22" s="220">
        <v>117</v>
      </c>
      <c r="AC22" s="216">
        <f>183+138</f>
        <v>321</v>
      </c>
      <c r="AD22" s="217">
        <f>114+166</f>
        <v>280</v>
      </c>
      <c r="AE22" s="217">
        <f>138+156</f>
        <v>294</v>
      </c>
      <c r="AF22" s="220">
        <f>147+167</f>
        <v>314</v>
      </c>
      <c r="AG22" s="216">
        <v>157</v>
      </c>
      <c r="AH22" s="217">
        <v>155</v>
      </c>
      <c r="AI22" s="217">
        <v>102</v>
      </c>
      <c r="AJ22" s="218">
        <v>156</v>
      </c>
      <c r="AK22" s="219"/>
      <c r="AL22" s="219"/>
      <c r="AM22" s="217"/>
      <c r="AN22" s="220"/>
      <c r="AO22" s="138">
        <f>SUM(Rezultati!E22:AN22)</f>
        <v>2310</v>
      </c>
      <c r="AP22" s="139">
        <f>COUNT(Rezultati!E22:AN22)</f>
        <v>12</v>
      </c>
      <c r="AQ22" s="200"/>
      <c r="AR22" s="141">
        <f>Rezultati!AO22/Rezultati!AP22</f>
        <v>192.5</v>
      </c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3"/>
    </row>
    <row r="23" spans="1:60" ht="16.5">
      <c r="A23" s="250" t="s">
        <v>29</v>
      </c>
      <c r="B23" s="222"/>
      <c r="C23" s="174"/>
      <c r="D23" s="127">
        <f>Rezultati!C23*Rezultati!AP23</f>
        <v>0</v>
      </c>
      <c r="E23" s="181"/>
      <c r="F23" s="182"/>
      <c r="G23" s="182"/>
      <c r="H23" s="183"/>
      <c r="I23" s="184"/>
      <c r="J23" s="176"/>
      <c r="K23" s="176"/>
      <c r="L23" s="185"/>
      <c r="M23" s="184"/>
      <c r="N23" s="176"/>
      <c r="O23" s="176"/>
      <c r="P23" s="185"/>
      <c r="Q23" s="206"/>
      <c r="R23" s="147"/>
      <c r="S23" s="147"/>
      <c r="T23" s="148"/>
      <c r="U23" s="175"/>
      <c r="V23" s="176"/>
      <c r="W23" s="176"/>
      <c r="X23" s="185"/>
      <c r="Y23" s="175"/>
      <c r="Z23" s="176"/>
      <c r="AA23" s="176"/>
      <c r="AB23" s="177"/>
      <c r="AC23" s="184"/>
      <c r="AD23" s="176"/>
      <c r="AE23" s="176"/>
      <c r="AF23" s="177"/>
      <c r="AG23" s="184"/>
      <c r="AH23" s="176"/>
      <c r="AI23" s="176"/>
      <c r="AJ23" s="185"/>
      <c r="AK23" s="175"/>
      <c r="AL23" s="175"/>
      <c r="AM23" s="176"/>
      <c r="AN23" s="177"/>
      <c r="AO23" s="248">
        <f>SUM(Rezultati!E23:AN23)</f>
        <v>0</v>
      </c>
      <c r="AP23" s="249">
        <f>COUNT(Rezultati!E23:AN23)</f>
        <v>0</v>
      </c>
      <c r="AQ23" s="200"/>
      <c r="AR23" s="141" t="e">
        <f>Rezultati!AO23/Rezultati!AP23</f>
        <v>#DIV/0!</v>
      </c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3"/>
    </row>
    <row r="24" spans="1:60" ht="16.5">
      <c r="A24" s="124" t="s">
        <v>30</v>
      </c>
      <c r="B24" s="125" t="s">
        <v>62</v>
      </c>
      <c r="C24" s="190">
        <v>0</v>
      </c>
      <c r="D24" s="127">
        <f>Rezultati!C24*Rezultati!AP24</f>
        <v>0</v>
      </c>
      <c r="E24" s="198">
        <v>153</v>
      </c>
      <c r="F24" s="196">
        <v>179</v>
      </c>
      <c r="G24" s="196">
        <v>163</v>
      </c>
      <c r="H24" s="199">
        <v>201</v>
      </c>
      <c r="I24" s="195">
        <v>159</v>
      </c>
      <c r="J24" s="196">
        <v>97</v>
      </c>
      <c r="K24" s="196">
        <v>176</v>
      </c>
      <c r="L24" s="197">
        <v>166</v>
      </c>
      <c r="M24" s="195">
        <v>210</v>
      </c>
      <c r="N24" s="196">
        <v>217</v>
      </c>
      <c r="O24" s="196">
        <v>184</v>
      </c>
      <c r="P24" s="197">
        <v>168</v>
      </c>
      <c r="Q24" s="251">
        <v>138</v>
      </c>
      <c r="R24" s="252">
        <v>203</v>
      </c>
      <c r="S24" s="252">
        <v>168</v>
      </c>
      <c r="T24" s="253">
        <v>166</v>
      </c>
      <c r="U24" s="194"/>
      <c r="V24" s="128"/>
      <c r="W24" s="128"/>
      <c r="X24" s="129"/>
      <c r="Y24" s="198">
        <v>169</v>
      </c>
      <c r="Z24" s="196">
        <v>168</v>
      </c>
      <c r="AA24" s="196">
        <v>177</v>
      </c>
      <c r="AB24" s="199">
        <v>157</v>
      </c>
      <c r="AC24" s="195">
        <v>190</v>
      </c>
      <c r="AD24" s="196">
        <v>168</v>
      </c>
      <c r="AE24" s="196">
        <v>168</v>
      </c>
      <c r="AF24" s="199">
        <v>177</v>
      </c>
      <c r="AG24" s="195">
        <v>170</v>
      </c>
      <c r="AH24" s="196">
        <v>203</v>
      </c>
      <c r="AI24" s="196">
        <v>192</v>
      </c>
      <c r="AJ24" s="197">
        <v>161</v>
      </c>
      <c r="AK24" s="198"/>
      <c r="AL24" s="198"/>
      <c r="AM24" s="196"/>
      <c r="AN24" s="199"/>
      <c r="AO24" s="138">
        <f>SUM(Rezultati!E24:AN24)</f>
        <v>4848</v>
      </c>
      <c r="AP24" s="139">
        <f>COUNT(Rezultati!E24:AN24)</f>
        <v>28</v>
      </c>
      <c r="AQ24" s="200">
        <f>SUM((Rezultati!AO24+Rezultati!AO25+Rezultati!AO26+Rezultati!AO27+Rezultati!AO28+Rezultati!AO29)/(Rezultati!AP24+Rezultati!AP25+Rezultati!AP26+Rezultati!AP27+Rezultati!AP28+Rezultati!AP29))</f>
        <v>166.63095238095238</v>
      </c>
      <c r="AR24" s="141">
        <f>Rezultati!AO24/Rezultati!AP24</f>
        <v>173.14285714285714</v>
      </c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3"/>
    </row>
    <row r="25" spans="1:60" ht="16.5">
      <c r="A25" s="144" t="s">
        <v>30</v>
      </c>
      <c r="B25" s="254" t="s">
        <v>63</v>
      </c>
      <c r="C25" s="255">
        <v>0</v>
      </c>
      <c r="D25" s="127">
        <f>Rezultati!C25*Rezultati!AP25</f>
        <v>0</v>
      </c>
      <c r="E25" s="256"/>
      <c r="F25" s="257"/>
      <c r="G25" s="257"/>
      <c r="H25" s="258"/>
      <c r="I25" s="259"/>
      <c r="J25" s="257"/>
      <c r="K25" s="257"/>
      <c r="L25" s="260"/>
      <c r="M25" s="259"/>
      <c r="N25" s="257"/>
      <c r="O25" s="257"/>
      <c r="P25" s="260"/>
      <c r="Q25" s="261"/>
      <c r="R25" s="262"/>
      <c r="S25" s="262"/>
      <c r="T25" s="263"/>
      <c r="U25" s="206"/>
      <c r="V25" s="147"/>
      <c r="W25" s="147"/>
      <c r="X25" s="148"/>
      <c r="Y25" s="256"/>
      <c r="Z25" s="257"/>
      <c r="AA25" s="257"/>
      <c r="AB25" s="258"/>
      <c r="AC25" s="259"/>
      <c r="AD25" s="257"/>
      <c r="AE25" s="257"/>
      <c r="AF25" s="258"/>
      <c r="AG25" s="259"/>
      <c r="AH25" s="257"/>
      <c r="AI25" s="257"/>
      <c r="AJ25" s="260"/>
      <c r="AK25" s="256"/>
      <c r="AL25" s="256"/>
      <c r="AM25" s="257"/>
      <c r="AN25" s="258"/>
      <c r="AO25" s="138">
        <f>SUM(Rezultati!E25:AN25)</f>
        <v>0</v>
      </c>
      <c r="AP25" s="139">
        <f>COUNT(Rezultati!E25:AN25)</f>
        <v>0</v>
      </c>
      <c r="AQ25" s="200"/>
      <c r="AR25" s="141" t="e">
        <f>Rezultati!AO25/Rezultati!AP25</f>
        <v>#DIV/0!</v>
      </c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3"/>
    </row>
    <row r="26" spans="1:60" ht="16.5">
      <c r="A26" s="144" t="s">
        <v>30</v>
      </c>
      <c r="B26" s="222" t="s">
        <v>64</v>
      </c>
      <c r="C26" s="174">
        <v>8</v>
      </c>
      <c r="D26" s="127">
        <f>Rezultati!C26*Rezultati!AP26</f>
        <v>224</v>
      </c>
      <c r="E26" s="175">
        <f>166+8</f>
        <v>174</v>
      </c>
      <c r="F26" s="176">
        <f>146+8</f>
        <v>154</v>
      </c>
      <c r="G26" s="176">
        <f>126+8</f>
        <v>134</v>
      </c>
      <c r="H26" s="177">
        <f>181+8</f>
        <v>189</v>
      </c>
      <c r="I26" s="184">
        <f>167+8</f>
        <v>175</v>
      </c>
      <c r="J26" s="176">
        <f>194+8</f>
        <v>202</v>
      </c>
      <c r="K26" s="176">
        <f>157+8</f>
        <v>165</v>
      </c>
      <c r="L26" s="185">
        <f>141+8</f>
        <v>149</v>
      </c>
      <c r="M26" s="184">
        <f>154+8</f>
        <v>162</v>
      </c>
      <c r="N26" s="176">
        <f>135+8</f>
        <v>143</v>
      </c>
      <c r="O26" s="176">
        <v>138</v>
      </c>
      <c r="P26" s="185">
        <f>173+8</f>
        <v>181</v>
      </c>
      <c r="Q26" s="181">
        <f>138+8</f>
        <v>146</v>
      </c>
      <c r="R26" s="182">
        <f>8+157</f>
        <v>165</v>
      </c>
      <c r="S26" s="182">
        <f>8+197</f>
        <v>205</v>
      </c>
      <c r="T26" s="183">
        <f>8+157</f>
        <v>165</v>
      </c>
      <c r="U26" s="206"/>
      <c r="V26" s="147"/>
      <c r="W26" s="147"/>
      <c r="X26" s="148"/>
      <c r="Y26" s="175">
        <v>158</v>
      </c>
      <c r="Z26" s="176">
        <f>8+166</f>
        <v>174</v>
      </c>
      <c r="AA26" s="176">
        <f>169+8</f>
        <v>177</v>
      </c>
      <c r="AB26" s="177">
        <f>138+8</f>
        <v>146</v>
      </c>
      <c r="AC26" s="184">
        <f>127+8</f>
        <v>135</v>
      </c>
      <c r="AD26" s="176">
        <f>133+8</f>
        <v>141</v>
      </c>
      <c r="AE26" s="176">
        <f>138+8</f>
        <v>146</v>
      </c>
      <c r="AF26" s="177">
        <f>137+8</f>
        <v>145</v>
      </c>
      <c r="AG26" s="264">
        <f>171+8</f>
        <v>179</v>
      </c>
      <c r="AH26" s="182">
        <f>173+8</f>
        <v>181</v>
      </c>
      <c r="AI26" s="182">
        <f>181+8</f>
        <v>189</v>
      </c>
      <c r="AJ26" s="265">
        <f>138+8</f>
        <v>146</v>
      </c>
      <c r="AK26" s="175"/>
      <c r="AL26" s="175"/>
      <c r="AM26" s="176"/>
      <c r="AN26" s="177"/>
      <c r="AO26" s="138">
        <f>SUM(Rezultati!E26:AN26)</f>
        <v>4564</v>
      </c>
      <c r="AP26" s="139">
        <f>COUNT(Rezultati!E26:AN26)</f>
        <v>28</v>
      </c>
      <c r="AQ26" s="200"/>
      <c r="AR26" s="141">
        <f>(Rezultati!AO26/Rezultati!AP26)-8</f>
        <v>155</v>
      </c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3"/>
    </row>
    <row r="27" spans="1:60" ht="16.5">
      <c r="A27" s="144" t="s">
        <v>30</v>
      </c>
      <c r="B27" s="222" t="s">
        <v>65</v>
      </c>
      <c r="C27" s="174">
        <v>8</v>
      </c>
      <c r="D27" s="127">
        <f>Rezultati!C27*Rezultati!AP27</f>
        <v>224</v>
      </c>
      <c r="E27" s="175">
        <f>141+8</f>
        <v>149</v>
      </c>
      <c r="F27" s="176">
        <f>191+8</f>
        <v>199</v>
      </c>
      <c r="G27" s="176">
        <f>136+8</f>
        <v>144</v>
      </c>
      <c r="H27" s="177">
        <f>159+8</f>
        <v>167</v>
      </c>
      <c r="I27" s="184">
        <f>136+8</f>
        <v>144</v>
      </c>
      <c r="J27" s="176">
        <f>149+8</f>
        <v>157</v>
      </c>
      <c r="K27" s="176">
        <f>168+8</f>
        <v>176</v>
      </c>
      <c r="L27" s="185">
        <f>147+8</f>
        <v>155</v>
      </c>
      <c r="M27" s="184">
        <f>181+8</f>
        <v>189</v>
      </c>
      <c r="N27" s="176">
        <f>167+8</f>
        <v>175</v>
      </c>
      <c r="O27" s="176">
        <v>200</v>
      </c>
      <c r="P27" s="185">
        <f>135+8</f>
        <v>143</v>
      </c>
      <c r="Q27" s="181">
        <f>8+169</f>
        <v>177</v>
      </c>
      <c r="R27" s="182">
        <v>160</v>
      </c>
      <c r="S27" s="182">
        <f>153+8</f>
        <v>161</v>
      </c>
      <c r="T27" s="183">
        <f>145+8</f>
        <v>153</v>
      </c>
      <c r="U27" s="206"/>
      <c r="V27" s="147"/>
      <c r="W27" s="147"/>
      <c r="X27" s="148"/>
      <c r="Y27" s="175">
        <f>167+8</f>
        <v>175</v>
      </c>
      <c r="Z27" s="176">
        <f>168+8</f>
        <v>176</v>
      </c>
      <c r="AA27" s="176">
        <f>131+8</f>
        <v>139</v>
      </c>
      <c r="AB27" s="177">
        <f>173+8</f>
        <v>181</v>
      </c>
      <c r="AC27" s="184">
        <f>143+8</f>
        <v>151</v>
      </c>
      <c r="AD27" s="176">
        <f>131+8</f>
        <v>139</v>
      </c>
      <c r="AE27" s="176">
        <f>168+8</f>
        <v>176</v>
      </c>
      <c r="AF27" s="177">
        <f>147+8</f>
        <v>155</v>
      </c>
      <c r="AG27" s="264">
        <v>150</v>
      </c>
      <c r="AH27" s="182">
        <v>138</v>
      </c>
      <c r="AI27" s="182">
        <f>157+8</f>
        <v>165</v>
      </c>
      <c r="AJ27" s="265">
        <f>183+8</f>
        <v>191</v>
      </c>
      <c r="AK27" s="175"/>
      <c r="AL27" s="175"/>
      <c r="AM27" s="176"/>
      <c r="AN27" s="177"/>
      <c r="AO27" s="138">
        <f>SUM(Rezultati!E27:AN27)</f>
        <v>4585</v>
      </c>
      <c r="AP27" s="139">
        <f>COUNT(Rezultati!E27:AN27)</f>
        <v>28</v>
      </c>
      <c r="AQ27" s="200"/>
      <c r="AR27" s="141">
        <f>(Rezultati!AO27/Rezultati!AP27)-8</f>
        <v>155.75</v>
      </c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3"/>
    </row>
    <row r="28" spans="1:60" ht="16.5">
      <c r="A28" s="144" t="s">
        <v>30</v>
      </c>
      <c r="B28" s="222"/>
      <c r="C28" s="174">
        <v>0</v>
      </c>
      <c r="D28" s="127">
        <f>Rezultati!C28*Rezultati!AP28</f>
        <v>0</v>
      </c>
      <c r="E28" s="175"/>
      <c r="F28" s="176"/>
      <c r="G28" s="176"/>
      <c r="H28" s="177"/>
      <c r="I28" s="184"/>
      <c r="J28" s="176"/>
      <c r="K28" s="176"/>
      <c r="L28" s="185"/>
      <c r="M28" s="184"/>
      <c r="N28" s="176"/>
      <c r="O28" s="176"/>
      <c r="P28" s="185"/>
      <c r="Q28" s="181"/>
      <c r="R28" s="182"/>
      <c r="S28" s="182"/>
      <c r="T28" s="183"/>
      <c r="U28" s="206"/>
      <c r="V28" s="147"/>
      <c r="W28" s="147"/>
      <c r="X28" s="148"/>
      <c r="Y28" s="175"/>
      <c r="Z28" s="176"/>
      <c r="AA28" s="176"/>
      <c r="AB28" s="177"/>
      <c r="AC28" s="184"/>
      <c r="AD28" s="176"/>
      <c r="AE28" s="176"/>
      <c r="AF28" s="177"/>
      <c r="AG28" s="264"/>
      <c r="AH28" s="182"/>
      <c r="AI28" s="182"/>
      <c r="AJ28" s="265"/>
      <c r="AK28" s="175"/>
      <c r="AL28" s="175"/>
      <c r="AM28" s="176"/>
      <c r="AN28" s="177"/>
      <c r="AO28" s="138">
        <f>SUM(Rezultati!E28:AN28)</f>
        <v>0</v>
      </c>
      <c r="AP28" s="139">
        <f>COUNT(Rezultati!E28:AN28)</f>
        <v>0</v>
      </c>
      <c r="AQ28" s="200"/>
      <c r="AR28" s="141" t="e">
        <f>Rezultati!AO28/Rezultati!AP28</f>
        <v>#DIV/0!</v>
      </c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3"/>
    </row>
    <row r="29" spans="1:60" ht="16.5">
      <c r="A29" s="221" t="s">
        <v>30</v>
      </c>
      <c r="B29" s="222"/>
      <c r="C29" s="174"/>
      <c r="D29" s="127">
        <f>Rezultati!C29*Rezultati!AP29</f>
        <v>0</v>
      </c>
      <c r="E29" s="175"/>
      <c r="F29" s="176"/>
      <c r="G29" s="176"/>
      <c r="H29" s="177"/>
      <c r="I29" s="184"/>
      <c r="J29" s="176"/>
      <c r="K29" s="176"/>
      <c r="L29" s="185"/>
      <c r="M29" s="184"/>
      <c r="N29" s="176"/>
      <c r="O29" s="176"/>
      <c r="P29" s="185"/>
      <c r="Q29" s="181"/>
      <c r="R29" s="182"/>
      <c r="S29" s="182"/>
      <c r="T29" s="183"/>
      <c r="U29" s="206"/>
      <c r="V29" s="147"/>
      <c r="W29" s="147"/>
      <c r="X29" s="148"/>
      <c r="Y29" s="175"/>
      <c r="Z29" s="176"/>
      <c r="AA29" s="176"/>
      <c r="AB29" s="177"/>
      <c r="AC29" s="227"/>
      <c r="AD29" s="176"/>
      <c r="AE29" s="176"/>
      <c r="AF29" s="177"/>
      <c r="AG29" s="264"/>
      <c r="AH29" s="182"/>
      <c r="AI29" s="182"/>
      <c r="AJ29" s="265"/>
      <c r="AK29" s="175"/>
      <c r="AL29" s="175"/>
      <c r="AM29" s="176"/>
      <c r="AN29" s="177"/>
      <c r="AO29" s="138">
        <f>SUM(Rezultati!E29:AN29)</f>
        <v>0</v>
      </c>
      <c r="AP29" s="139">
        <f>COUNT(Rezultati!E29:AN29)</f>
        <v>0</v>
      </c>
      <c r="AQ29" s="200"/>
      <c r="AR29" s="141" t="e">
        <f>Rezultati!AO29/Rezultati!AP29</f>
        <v>#DIV/0!</v>
      </c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3"/>
    </row>
    <row r="30" spans="1:60" ht="16.5">
      <c r="A30" s="266" t="s">
        <v>31</v>
      </c>
      <c r="B30" s="125" t="s">
        <v>66</v>
      </c>
      <c r="C30" s="190">
        <v>0</v>
      </c>
      <c r="D30" s="127">
        <f>Rezultati!C30*Rezultati!AP30</f>
        <v>0</v>
      </c>
      <c r="E30" s="198">
        <v>128</v>
      </c>
      <c r="F30" s="196">
        <v>222</v>
      </c>
      <c r="G30" s="196">
        <v>171</v>
      </c>
      <c r="H30" s="199">
        <v>190</v>
      </c>
      <c r="I30" s="195">
        <v>149</v>
      </c>
      <c r="J30" s="196">
        <v>147</v>
      </c>
      <c r="K30" s="196">
        <v>188</v>
      </c>
      <c r="L30" s="197">
        <v>197</v>
      </c>
      <c r="M30" s="195">
        <v>177</v>
      </c>
      <c r="N30" s="196">
        <v>162</v>
      </c>
      <c r="O30" s="196">
        <v>214</v>
      </c>
      <c r="P30" s="197">
        <v>170</v>
      </c>
      <c r="Q30" s="198">
        <v>163</v>
      </c>
      <c r="R30" s="196">
        <v>184</v>
      </c>
      <c r="S30" s="196">
        <v>152</v>
      </c>
      <c r="T30" s="199">
        <v>187</v>
      </c>
      <c r="U30" s="195">
        <v>182</v>
      </c>
      <c r="V30" s="196">
        <v>181</v>
      </c>
      <c r="W30" s="196">
        <v>149</v>
      </c>
      <c r="X30" s="197">
        <v>147</v>
      </c>
      <c r="Y30" s="194"/>
      <c r="Z30" s="128"/>
      <c r="AA30" s="128"/>
      <c r="AB30" s="129"/>
      <c r="AC30" s="267">
        <v>148</v>
      </c>
      <c r="AD30" s="268">
        <v>206</v>
      </c>
      <c r="AE30" s="268">
        <v>202</v>
      </c>
      <c r="AF30" s="269">
        <v>235</v>
      </c>
      <c r="AG30" s="195">
        <v>153</v>
      </c>
      <c r="AH30" s="196">
        <v>160</v>
      </c>
      <c r="AI30" s="196">
        <v>163</v>
      </c>
      <c r="AJ30" s="197">
        <v>159</v>
      </c>
      <c r="AK30" s="198"/>
      <c r="AL30" s="198"/>
      <c r="AM30" s="196"/>
      <c r="AN30" s="199"/>
      <c r="AO30" s="138">
        <f>SUM(Rezultati!E30:AN30)</f>
        <v>4886</v>
      </c>
      <c r="AP30" s="139">
        <f>COUNT(Rezultati!E30:AN30)</f>
        <v>28</v>
      </c>
      <c r="AQ30" s="200">
        <f>SUM((Rezultati!AO30+Rezultati!AO31+Rezultati!AO32+Rezultati!AO33+Rezultati!AO34)/(Rezultati!AP30+Rezultati!AP31+Rezultati!AP32+Rezultati!AP33+Rezultati!AP34))</f>
        <v>163.28571428571428</v>
      </c>
      <c r="AR30" s="141">
        <f>Rezultati!AO30/Rezultati!AP30</f>
        <v>174.5</v>
      </c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3"/>
    </row>
    <row r="31" spans="1:60" ht="16.5">
      <c r="A31" s="242" t="s">
        <v>31</v>
      </c>
      <c r="B31" s="145" t="s">
        <v>67</v>
      </c>
      <c r="C31" s="202">
        <v>8</v>
      </c>
      <c r="D31" s="127">
        <f>Rezultati!C31*Rezultati!AP31</f>
        <v>192</v>
      </c>
      <c r="E31" s="210">
        <f>148+8</f>
        <v>156</v>
      </c>
      <c r="F31" s="208">
        <f>105+8</f>
        <v>113</v>
      </c>
      <c r="G31" s="208">
        <f>143+8</f>
        <v>151</v>
      </c>
      <c r="H31" s="211">
        <f>123+8</f>
        <v>131</v>
      </c>
      <c r="I31" s="207">
        <f>125+8</f>
        <v>133</v>
      </c>
      <c r="J31" s="208">
        <f>128+8</f>
        <v>136</v>
      </c>
      <c r="K31" s="208">
        <f>147+8</f>
        <v>155</v>
      </c>
      <c r="L31" s="209">
        <f>119+8</f>
        <v>127</v>
      </c>
      <c r="M31" s="207">
        <f>131+8</f>
        <v>139</v>
      </c>
      <c r="N31" s="208">
        <f>116+8</f>
        <v>124</v>
      </c>
      <c r="O31" s="208">
        <v>178</v>
      </c>
      <c r="P31" s="209">
        <f>137+8</f>
        <v>145</v>
      </c>
      <c r="Q31" s="210">
        <f>124+8</f>
        <v>132</v>
      </c>
      <c r="R31" s="208">
        <f>158+8</f>
        <v>166</v>
      </c>
      <c r="S31" s="208">
        <f>143+8</f>
        <v>151</v>
      </c>
      <c r="T31" s="211">
        <v>150</v>
      </c>
      <c r="U31" s="207">
        <f>8+145</f>
        <v>153</v>
      </c>
      <c r="V31" s="208">
        <f>156+8</f>
        <v>164</v>
      </c>
      <c r="W31" s="208">
        <f>173+8</f>
        <v>181</v>
      </c>
      <c r="X31" s="209">
        <f>185+8</f>
        <v>193</v>
      </c>
      <c r="Y31" s="206"/>
      <c r="Z31" s="147"/>
      <c r="AA31" s="147"/>
      <c r="AB31" s="148"/>
      <c r="AC31" s="270">
        <f>137+8</f>
        <v>145</v>
      </c>
      <c r="AD31" s="271">
        <v>130</v>
      </c>
      <c r="AE31" s="271">
        <f>139+8</f>
        <v>147</v>
      </c>
      <c r="AF31" s="272">
        <f>159+8</f>
        <v>167</v>
      </c>
      <c r="AG31" s="207"/>
      <c r="AH31" s="208"/>
      <c r="AI31" s="208"/>
      <c r="AJ31" s="209"/>
      <c r="AK31" s="210"/>
      <c r="AL31" s="210"/>
      <c r="AM31" s="208"/>
      <c r="AN31" s="211"/>
      <c r="AO31" s="138">
        <f>SUM(Rezultati!E31:AN31)</f>
        <v>3567</v>
      </c>
      <c r="AP31" s="139">
        <f>COUNT(Rezultati!E31:AN31)</f>
        <v>24</v>
      </c>
      <c r="AQ31" s="200"/>
      <c r="AR31" s="141">
        <f>(Rezultati!AO31/Rezultati!AP31)-8</f>
        <v>140.625</v>
      </c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3"/>
    </row>
    <row r="32" spans="1:60" ht="16.5">
      <c r="A32" s="242" t="s">
        <v>31</v>
      </c>
      <c r="B32" s="145" t="s">
        <v>68</v>
      </c>
      <c r="C32" s="202">
        <v>0</v>
      </c>
      <c r="D32" s="127">
        <f>Rezultati!C32*Rezultati!AP32</f>
        <v>0</v>
      </c>
      <c r="E32" s="210">
        <v>171</v>
      </c>
      <c r="F32" s="208">
        <v>155</v>
      </c>
      <c r="G32" s="208">
        <v>141</v>
      </c>
      <c r="H32" s="211">
        <v>175</v>
      </c>
      <c r="I32" s="207">
        <v>145</v>
      </c>
      <c r="J32" s="208">
        <v>183</v>
      </c>
      <c r="K32" s="208">
        <v>157</v>
      </c>
      <c r="L32" s="209">
        <v>157</v>
      </c>
      <c r="M32" s="207">
        <v>153</v>
      </c>
      <c r="N32" s="208">
        <v>166</v>
      </c>
      <c r="O32" s="208">
        <v>136</v>
      </c>
      <c r="P32" s="209">
        <v>130</v>
      </c>
      <c r="Q32" s="210">
        <v>148</v>
      </c>
      <c r="R32" s="208">
        <v>155</v>
      </c>
      <c r="S32" s="208">
        <v>158</v>
      </c>
      <c r="T32" s="211">
        <v>151</v>
      </c>
      <c r="U32" s="207">
        <v>192</v>
      </c>
      <c r="V32" s="208">
        <v>216</v>
      </c>
      <c r="W32" s="208">
        <v>149</v>
      </c>
      <c r="X32" s="209">
        <v>149</v>
      </c>
      <c r="Y32" s="206"/>
      <c r="Z32" s="147"/>
      <c r="AA32" s="147"/>
      <c r="AB32" s="148"/>
      <c r="AC32" s="273">
        <v>187</v>
      </c>
      <c r="AD32" s="274">
        <v>209</v>
      </c>
      <c r="AE32" s="274">
        <v>204</v>
      </c>
      <c r="AF32" s="275">
        <v>169</v>
      </c>
      <c r="AG32" s="207">
        <v>150</v>
      </c>
      <c r="AH32" s="208">
        <v>171</v>
      </c>
      <c r="AI32" s="208">
        <v>186</v>
      </c>
      <c r="AJ32" s="209">
        <v>146</v>
      </c>
      <c r="AK32" s="210"/>
      <c r="AL32" s="210"/>
      <c r="AM32" s="208"/>
      <c r="AN32" s="211"/>
      <c r="AO32" s="138">
        <f>SUM(Rezultati!E32:AN32)</f>
        <v>4609</v>
      </c>
      <c r="AP32" s="139">
        <f>COUNT(Rezultati!E32:AN32)</f>
        <v>28</v>
      </c>
      <c r="AQ32" s="200"/>
      <c r="AR32" s="141">
        <f>Rezultati!AO32/Rezultati!AP32</f>
        <v>164.60714285714286</v>
      </c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3"/>
    </row>
    <row r="33" spans="1:60" ht="16.5">
      <c r="A33" s="242" t="s">
        <v>31</v>
      </c>
      <c r="B33" s="228" t="s">
        <v>69</v>
      </c>
      <c r="C33" s="158">
        <v>0</v>
      </c>
      <c r="D33" s="127">
        <f>Rezultati!C33*Rezultati!AP33</f>
        <v>0</v>
      </c>
      <c r="E33" s="219"/>
      <c r="F33" s="217"/>
      <c r="G33" s="217"/>
      <c r="H33" s="220"/>
      <c r="I33" s="216"/>
      <c r="J33" s="217"/>
      <c r="K33" s="217"/>
      <c r="L33" s="218"/>
      <c r="M33" s="216"/>
      <c r="N33" s="217"/>
      <c r="O33" s="217"/>
      <c r="P33" s="218"/>
      <c r="Q33" s="219"/>
      <c r="R33" s="217"/>
      <c r="S33" s="217"/>
      <c r="T33" s="220"/>
      <c r="U33" s="216"/>
      <c r="V33" s="217"/>
      <c r="W33" s="217"/>
      <c r="X33" s="218"/>
      <c r="Y33" s="206"/>
      <c r="Z33" s="147"/>
      <c r="AA33" s="147"/>
      <c r="AB33" s="148"/>
      <c r="AC33" s="273"/>
      <c r="AD33" s="274"/>
      <c r="AE33" s="274"/>
      <c r="AF33" s="275"/>
      <c r="AG33" s="216"/>
      <c r="AH33" s="217"/>
      <c r="AI33" s="217"/>
      <c r="AJ33" s="218"/>
      <c r="AK33" s="219"/>
      <c r="AL33" s="219"/>
      <c r="AM33" s="217"/>
      <c r="AN33" s="220"/>
      <c r="AO33" s="138">
        <f>SUM(Rezultati!E33:AN33)</f>
        <v>0</v>
      </c>
      <c r="AP33" s="139">
        <f>COUNT(Rezultati!E33:AN33)</f>
        <v>0</v>
      </c>
      <c r="AQ33" s="200"/>
      <c r="AR33" s="141" t="e">
        <f>Rezultati!AO33/Rezultati!AP33</f>
        <v>#DIV/0!</v>
      </c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3"/>
    </row>
    <row r="34" spans="1:60" ht="16.5">
      <c r="A34" s="276" t="s">
        <v>31</v>
      </c>
      <c r="B34" s="230" t="s">
        <v>70</v>
      </c>
      <c r="C34" s="231">
        <v>0</v>
      </c>
      <c r="D34" s="127">
        <f>Rezultati!C34*Rezultati!AP34</f>
        <v>0</v>
      </c>
      <c r="E34" s="232"/>
      <c r="F34" s="233"/>
      <c r="G34" s="233"/>
      <c r="H34" s="234"/>
      <c r="I34" s="227"/>
      <c r="J34" s="233"/>
      <c r="K34" s="233"/>
      <c r="L34" s="235"/>
      <c r="M34" s="227"/>
      <c r="N34" s="233"/>
      <c r="O34" s="233"/>
      <c r="P34" s="235"/>
      <c r="Q34" s="232"/>
      <c r="R34" s="233"/>
      <c r="S34" s="233"/>
      <c r="T34" s="234"/>
      <c r="U34" s="227"/>
      <c r="V34" s="233"/>
      <c r="W34" s="233"/>
      <c r="X34" s="235"/>
      <c r="Y34" s="236"/>
      <c r="Z34" s="237"/>
      <c r="AA34" s="237"/>
      <c r="AB34" s="238"/>
      <c r="AC34" s="277"/>
      <c r="AD34" s="278"/>
      <c r="AE34" s="278"/>
      <c r="AF34" s="279"/>
      <c r="AG34" s="227">
        <v>156</v>
      </c>
      <c r="AH34" s="233">
        <v>190</v>
      </c>
      <c r="AI34" s="233">
        <v>149</v>
      </c>
      <c r="AJ34" s="235">
        <v>159</v>
      </c>
      <c r="AK34" s="232"/>
      <c r="AL34" s="232"/>
      <c r="AM34" s="233"/>
      <c r="AN34" s="234"/>
      <c r="AO34" s="138">
        <f>SUM(Rezultati!E34:AN34)</f>
        <v>654</v>
      </c>
      <c r="AP34" s="139">
        <f>COUNT(Rezultati!E34:AN34)</f>
        <v>4</v>
      </c>
      <c r="AQ34" s="200"/>
      <c r="AR34" s="141">
        <f>(Rezultati!AO34/Rezultati!AP34)</f>
        <v>163.5</v>
      </c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3"/>
    </row>
    <row r="35" spans="1:60" ht="16.5">
      <c r="A35" s="239" t="s">
        <v>32</v>
      </c>
      <c r="B35" s="145" t="s">
        <v>71</v>
      </c>
      <c r="C35" s="202">
        <v>0</v>
      </c>
      <c r="D35" s="127">
        <f>Rezultati!C35*Rezultati!AP35</f>
        <v>0</v>
      </c>
      <c r="E35" s="210">
        <v>192</v>
      </c>
      <c r="F35" s="208">
        <v>149</v>
      </c>
      <c r="G35" s="208">
        <v>108</v>
      </c>
      <c r="H35" s="211">
        <v>128</v>
      </c>
      <c r="I35" s="207">
        <v>138</v>
      </c>
      <c r="J35" s="208">
        <v>174</v>
      </c>
      <c r="K35" s="208">
        <v>177</v>
      </c>
      <c r="L35" s="209">
        <v>161</v>
      </c>
      <c r="M35" s="207">
        <v>148</v>
      </c>
      <c r="N35" s="208">
        <v>180</v>
      </c>
      <c r="O35" s="208">
        <v>171</v>
      </c>
      <c r="P35" s="209">
        <v>170</v>
      </c>
      <c r="Q35" s="210">
        <v>136</v>
      </c>
      <c r="R35" s="208">
        <f>502-156-165</f>
        <v>181</v>
      </c>
      <c r="S35" s="208">
        <v>202</v>
      </c>
      <c r="T35" s="211">
        <v>208</v>
      </c>
      <c r="U35" s="207">
        <v>170</v>
      </c>
      <c r="V35" s="208">
        <v>195</v>
      </c>
      <c r="W35" s="208">
        <v>143</v>
      </c>
      <c r="X35" s="209">
        <v>180</v>
      </c>
      <c r="Y35" s="210">
        <v>202</v>
      </c>
      <c r="Z35" s="208">
        <v>246</v>
      </c>
      <c r="AA35" s="208">
        <v>169</v>
      </c>
      <c r="AB35" s="211">
        <v>136</v>
      </c>
      <c r="AC35" s="206"/>
      <c r="AD35" s="147"/>
      <c r="AE35" s="147"/>
      <c r="AF35" s="148"/>
      <c r="AG35" s="210">
        <v>160</v>
      </c>
      <c r="AH35" s="208">
        <v>147</v>
      </c>
      <c r="AI35" s="208">
        <v>216</v>
      </c>
      <c r="AJ35" s="197">
        <v>236</v>
      </c>
      <c r="AK35" s="210"/>
      <c r="AL35" s="210"/>
      <c r="AM35" s="208"/>
      <c r="AN35" s="211"/>
      <c r="AO35" s="138">
        <f>SUM(Rezultati!E35:AN35)</f>
        <v>4823</v>
      </c>
      <c r="AP35" s="139">
        <f>COUNT(Rezultati!E35:AN35)</f>
        <v>28</v>
      </c>
      <c r="AQ35" s="200">
        <f>SUM((Rezultati!AO35+Rezultati!AO36+Rezultati!AO37+Rezultati!AO38+Rezultati!AO39)/(Rezultati!AP35+Rezultati!AP36+Rezultati!AP37+Rezultati!AP38+Rezultati!AP39))</f>
        <v>163.5952380952381</v>
      </c>
      <c r="AR35" s="141">
        <f>(Rezultati!AO35/Rezultati!AP35)</f>
        <v>172.25</v>
      </c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3"/>
    </row>
    <row r="36" spans="1:60" ht="16.5">
      <c r="A36" s="239" t="s">
        <v>32</v>
      </c>
      <c r="B36" s="201" t="s">
        <v>72</v>
      </c>
      <c r="C36" s="202">
        <v>0</v>
      </c>
      <c r="D36" s="127">
        <f>Rezultati!C36*Rezultati!AP36</f>
        <v>0</v>
      </c>
      <c r="E36" s="210">
        <v>146</v>
      </c>
      <c r="F36" s="208">
        <v>177</v>
      </c>
      <c r="G36" s="208">
        <v>160</v>
      </c>
      <c r="H36" s="211">
        <v>174</v>
      </c>
      <c r="I36" s="207">
        <v>153</v>
      </c>
      <c r="J36" s="208">
        <v>155</v>
      </c>
      <c r="K36" s="208">
        <v>157</v>
      </c>
      <c r="L36" s="209">
        <v>153</v>
      </c>
      <c r="M36" s="207">
        <v>144</v>
      </c>
      <c r="N36" s="208">
        <v>153</v>
      </c>
      <c r="O36" s="208">
        <v>166</v>
      </c>
      <c r="P36" s="209">
        <v>147</v>
      </c>
      <c r="Q36" s="210">
        <v>159</v>
      </c>
      <c r="R36" s="208">
        <v>165</v>
      </c>
      <c r="S36" s="208">
        <v>128</v>
      </c>
      <c r="T36" s="211">
        <v>129</v>
      </c>
      <c r="U36" s="207">
        <v>173</v>
      </c>
      <c r="V36" s="208">
        <v>143</v>
      </c>
      <c r="W36" s="208">
        <v>147</v>
      </c>
      <c r="X36" s="209">
        <v>169</v>
      </c>
      <c r="Y36" s="210">
        <v>146</v>
      </c>
      <c r="Z36" s="208">
        <v>176</v>
      </c>
      <c r="AA36" s="208">
        <v>159</v>
      </c>
      <c r="AB36" s="211">
        <v>153</v>
      </c>
      <c r="AC36" s="206"/>
      <c r="AD36" s="147"/>
      <c r="AE36" s="147"/>
      <c r="AF36" s="148"/>
      <c r="AG36" s="210">
        <v>150</v>
      </c>
      <c r="AH36" s="208">
        <v>142</v>
      </c>
      <c r="AI36" s="208">
        <v>167</v>
      </c>
      <c r="AJ36" s="209">
        <v>126</v>
      </c>
      <c r="AK36" s="210"/>
      <c r="AL36" s="210"/>
      <c r="AM36" s="208"/>
      <c r="AN36" s="211"/>
      <c r="AO36" s="248">
        <f>SUM(Rezultati!E36:AN36)</f>
        <v>4317</v>
      </c>
      <c r="AP36" s="249">
        <f>COUNT(Rezultati!E36:AN36)</f>
        <v>28</v>
      </c>
      <c r="AQ36" s="200"/>
      <c r="AR36" s="141">
        <f>(Rezultati!AO36/Rezultati!AP36)</f>
        <v>154.17857142857142</v>
      </c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3"/>
    </row>
    <row r="37" spans="1:60" ht="16.5">
      <c r="A37" s="239" t="s">
        <v>32</v>
      </c>
      <c r="B37" s="201" t="s">
        <v>73</v>
      </c>
      <c r="C37" s="202">
        <v>0</v>
      </c>
      <c r="D37" s="127">
        <f>Rezultati!C37*Rezultati!AP37</f>
        <v>0</v>
      </c>
      <c r="E37" s="210">
        <v>158</v>
      </c>
      <c r="F37" s="208">
        <v>144</v>
      </c>
      <c r="G37" s="208">
        <v>125</v>
      </c>
      <c r="H37" s="211">
        <v>208</v>
      </c>
      <c r="I37" s="207">
        <v>158</v>
      </c>
      <c r="J37" s="208">
        <v>149</v>
      </c>
      <c r="K37" s="208">
        <v>137</v>
      </c>
      <c r="L37" s="209">
        <v>187</v>
      </c>
      <c r="M37" s="207">
        <v>183</v>
      </c>
      <c r="N37" s="208">
        <v>149</v>
      </c>
      <c r="O37" s="208">
        <v>153</v>
      </c>
      <c r="P37" s="209">
        <v>169</v>
      </c>
      <c r="Q37" s="210">
        <v>153</v>
      </c>
      <c r="R37" s="208">
        <v>156</v>
      </c>
      <c r="S37" s="208">
        <v>181</v>
      </c>
      <c r="T37" s="211">
        <v>233</v>
      </c>
      <c r="U37" s="207">
        <v>178</v>
      </c>
      <c r="V37" s="208">
        <v>190</v>
      </c>
      <c r="W37" s="208">
        <v>135</v>
      </c>
      <c r="X37" s="209">
        <v>181</v>
      </c>
      <c r="Y37" s="210">
        <v>145</v>
      </c>
      <c r="Z37" s="208">
        <v>160</v>
      </c>
      <c r="AA37" s="208">
        <v>164</v>
      </c>
      <c r="AB37" s="211">
        <v>134</v>
      </c>
      <c r="AC37" s="206"/>
      <c r="AD37" s="147"/>
      <c r="AE37" s="147"/>
      <c r="AF37" s="148"/>
      <c r="AG37" s="210">
        <v>139</v>
      </c>
      <c r="AH37" s="208">
        <v>157</v>
      </c>
      <c r="AI37" s="208">
        <v>209</v>
      </c>
      <c r="AJ37" s="209">
        <v>167</v>
      </c>
      <c r="AK37" s="210"/>
      <c r="AL37" s="210"/>
      <c r="AM37" s="208"/>
      <c r="AN37" s="211"/>
      <c r="AO37" s="248">
        <f>SUM(Rezultati!E37:AN37)</f>
        <v>4602</v>
      </c>
      <c r="AP37" s="249">
        <f>COUNT(Rezultati!E37:AN37)</f>
        <v>28</v>
      </c>
      <c r="AQ37" s="200"/>
      <c r="AR37" s="141">
        <f>(Rezultati!AO37/Rezultati!AP37)</f>
        <v>164.35714285714286</v>
      </c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3"/>
    </row>
    <row r="38" spans="1:60" ht="16.5">
      <c r="A38" s="239" t="s">
        <v>32</v>
      </c>
      <c r="B38" s="201"/>
      <c r="C38" s="202">
        <v>0</v>
      </c>
      <c r="D38" s="127">
        <f>Rezultati!C38*Rezultati!AP38</f>
        <v>0</v>
      </c>
      <c r="E38" s="280"/>
      <c r="F38" s="281"/>
      <c r="G38" s="281"/>
      <c r="H38" s="282"/>
      <c r="I38" s="207"/>
      <c r="J38" s="208"/>
      <c r="K38" s="208"/>
      <c r="L38" s="209"/>
      <c r="M38" s="207"/>
      <c r="N38" s="208"/>
      <c r="O38" s="208"/>
      <c r="P38" s="209"/>
      <c r="Q38" s="283"/>
      <c r="R38" s="284"/>
      <c r="S38" s="284"/>
      <c r="T38" s="285"/>
      <c r="U38" s="207"/>
      <c r="V38" s="208"/>
      <c r="W38" s="208"/>
      <c r="X38" s="209"/>
      <c r="Y38" s="210"/>
      <c r="Z38" s="208"/>
      <c r="AA38" s="208"/>
      <c r="AB38" s="211"/>
      <c r="AC38" s="206"/>
      <c r="AD38" s="147"/>
      <c r="AE38" s="147"/>
      <c r="AF38" s="148"/>
      <c r="AG38" s="210"/>
      <c r="AH38" s="208"/>
      <c r="AI38" s="208"/>
      <c r="AJ38" s="218"/>
      <c r="AK38" s="210"/>
      <c r="AL38" s="210"/>
      <c r="AM38" s="208"/>
      <c r="AN38" s="211"/>
      <c r="AO38" s="248">
        <f>SUM(Rezultati!E38:AN38)</f>
        <v>0</v>
      </c>
      <c r="AP38" s="249">
        <f>COUNT(Rezultati!E38:AN38)</f>
        <v>0</v>
      </c>
      <c r="AQ38" s="200"/>
      <c r="AR38" s="141" t="e">
        <f>(Rezultati!AO38/Rezultati!AP38)</f>
        <v>#DIV/0!</v>
      </c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3"/>
    </row>
    <row r="39" spans="1:60" ht="16.5">
      <c r="A39" s="286" t="s">
        <v>32</v>
      </c>
      <c r="B39" s="287"/>
      <c r="C39" s="231"/>
      <c r="D39" s="127">
        <f>Rezultati!C39*Rezultati!AP39</f>
        <v>0</v>
      </c>
      <c r="E39" s="232"/>
      <c r="F39" s="233"/>
      <c r="G39" s="233"/>
      <c r="H39" s="234"/>
      <c r="I39" s="227"/>
      <c r="J39" s="233"/>
      <c r="K39" s="233"/>
      <c r="L39" s="235"/>
      <c r="M39" s="227"/>
      <c r="N39" s="233"/>
      <c r="O39" s="233"/>
      <c r="P39" s="235"/>
      <c r="Q39" s="232"/>
      <c r="R39" s="233"/>
      <c r="S39" s="233"/>
      <c r="T39" s="234"/>
      <c r="U39" s="227"/>
      <c r="V39" s="233"/>
      <c r="W39" s="233"/>
      <c r="X39" s="235"/>
      <c r="Y39" s="232"/>
      <c r="Z39" s="233"/>
      <c r="AA39" s="233"/>
      <c r="AB39" s="234"/>
      <c r="AC39" s="236"/>
      <c r="AD39" s="237"/>
      <c r="AE39" s="237"/>
      <c r="AF39" s="238"/>
      <c r="AG39" s="232"/>
      <c r="AH39" s="233"/>
      <c r="AI39" s="233"/>
      <c r="AJ39" s="235"/>
      <c r="AK39" s="232"/>
      <c r="AL39" s="232"/>
      <c r="AM39" s="233"/>
      <c r="AN39" s="234"/>
      <c r="AO39" s="248">
        <f>SUM(Rezultati!E39:AN39)</f>
        <v>0</v>
      </c>
      <c r="AP39" s="249">
        <f>COUNT(Rezultati!E39:AN39)</f>
        <v>0</v>
      </c>
      <c r="AQ39" s="200"/>
      <c r="AR39" s="141" t="e">
        <f>Rezultati!AO39/Rezultati!AP39</f>
        <v>#DIV/0!</v>
      </c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3"/>
    </row>
    <row r="40" spans="1:60" ht="16.5">
      <c r="A40" s="288" t="s">
        <v>33</v>
      </c>
      <c r="B40" s="201" t="s">
        <v>74</v>
      </c>
      <c r="C40" s="202">
        <v>0</v>
      </c>
      <c r="D40" s="127">
        <f>Rezultati!C40*Rezultati!AP40</f>
        <v>0</v>
      </c>
      <c r="E40" s="289">
        <v>190</v>
      </c>
      <c r="F40" s="290">
        <v>181</v>
      </c>
      <c r="G40" s="290">
        <v>152</v>
      </c>
      <c r="H40" s="291">
        <v>205</v>
      </c>
      <c r="I40" s="207"/>
      <c r="J40" s="208"/>
      <c r="K40" s="208"/>
      <c r="L40" s="209"/>
      <c r="M40" s="207"/>
      <c r="N40" s="208"/>
      <c r="O40" s="208"/>
      <c r="P40" s="209"/>
      <c r="Q40" s="289"/>
      <c r="R40" s="290"/>
      <c r="S40" s="290"/>
      <c r="T40" s="291"/>
      <c r="U40" s="207">
        <v>116</v>
      </c>
      <c r="V40" s="208">
        <v>145</v>
      </c>
      <c r="W40" s="208">
        <v>131</v>
      </c>
      <c r="X40" s="209">
        <v>133</v>
      </c>
      <c r="Y40" s="210"/>
      <c r="Z40" s="208"/>
      <c r="AA40" s="208"/>
      <c r="AB40" s="211"/>
      <c r="AC40" s="207">
        <v>186</v>
      </c>
      <c r="AD40" s="208">
        <v>139</v>
      </c>
      <c r="AE40" s="208">
        <v>190</v>
      </c>
      <c r="AF40" s="211">
        <v>148</v>
      </c>
      <c r="AG40" s="206"/>
      <c r="AH40" s="147"/>
      <c r="AI40" s="147"/>
      <c r="AJ40" s="148"/>
      <c r="AK40" s="207"/>
      <c r="AL40" s="208"/>
      <c r="AM40" s="208"/>
      <c r="AN40" s="209"/>
      <c r="AO40" s="248">
        <f>SUM(Rezultati!E40:AN40)</f>
        <v>1916</v>
      </c>
      <c r="AP40" s="249">
        <f>COUNT(Rezultati!E40:AN40)</f>
        <v>12</v>
      </c>
      <c r="AQ40" s="292">
        <f>SUM((Rezultati!AO40+Rezultati!AO41+Rezultati!AO42+Rezultati!AO43+Rezultati!AO44)/(Rezultati!AP40+Rezultati!AP41+Rezultati!AP42+Rezultati!AP43+Rezultati!AP44))</f>
        <v>168.33333333333334</v>
      </c>
      <c r="AR40" s="141">
        <f>Rezultati!AO40/Rezultati!AP40</f>
        <v>159.66666666666666</v>
      </c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3"/>
    </row>
    <row r="41" spans="1:60" ht="16.5">
      <c r="A41" s="242" t="s">
        <v>33</v>
      </c>
      <c r="B41" s="228" t="s">
        <v>75</v>
      </c>
      <c r="C41" s="158">
        <v>0</v>
      </c>
      <c r="D41" s="127">
        <f>Rezultati!C41*Rezultati!AP41</f>
        <v>0</v>
      </c>
      <c r="E41" s="245">
        <v>160</v>
      </c>
      <c r="F41" s="246">
        <v>198</v>
      </c>
      <c r="G41" s="246">
        <v>153</v>
      </c>
      <c r="H41" s="247">
        <v>148</v>
      </c>
      <c r="I41" s="216">
        <v>151</v>
      </c>
      <c r="J41" s="217">
        <v>234</v>
      </c>
      <c r="K41" s="217">
        <v>178</v>
      </c>
      <c r="L41" s="218">
        <v>161</v>
      </c>
      <c r="M41" s="216">
        <v>175</v>
      </c>
      <c r="N41" s="217">
        <v>177</v>
      </c>
      <c r="O41" s="217">
        <v>191</v>
      </c>
      <c r="P41" s="218">
        <v>179</v>
      </c>
      <c r="Q41" s="293">
        <v>135</v>
      </c>
      <c r="R41" s="294">
        <v>140</v>
      </c>
      <c r="S41" s="294">
        <v>190</v>
      </c>
      <c r="T41" s="295">
        <v>137</v>
      </c>
      <c r="U41" s="243"/>
      <c r="V41" s="214"/>
      <c r="W41" s="214"/>
      <c r="X41" s="244"/>
      <c r="Y41" s="213">
        <v>218</v>
      </c>
      <c r="Z41" s="214">
        <v>170</v>
      </c>
      <c r="AA41" s="214">
        <v>174</v>
      </c>
      <c r="AB41" s="215">
        <v>204</v>
      </c>
      <c r="AC41" s="243"/>
      <c r="AD41" s="214"/>
      <c r="AE41" s="214"/>
      <c r="AF41" s="215"/>
      <c r="AG41" s="206"/>
      <c r="AH41" s="147"/>
      <c r="AI41" s="147"/>
      <c r="AJ41" s="148"/>
      <c r="AK41" s="216"/>
      <c r="AL41" s="217"/>
      <c r="AM41" s="217"/>
      <c r="AN41" s="218"/>
      <c r="AO41" s="248">
        <f>SUM(Rezultati!E41:AN41)</f>
        <v>3473</v>
      </c>
      <c r="AP41" s="249">
        <f>COUNT(Rezultati!E41:AN41)</f>
        <v>20</v>
      </c>
      <c r="AQ41" s="292"/>
      <c r="AR41" s="141">
        <f>Rezultati!AO41/Rezultati!AP41</f>
        <v>173.65</v>
      </c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3"/>
    </row>
    <row r="42" spans="1:60" ht="16.5">
      <c r="A42" s="242" t="s">
        <v>33</v>
      </c>
      <c r="B42" s="157" t="s">
        <v>76</v>
      </c>
      <c r="C42" s="158">
        <v>0</v>
      </c>
      <c r="D42" s="127">
        <f>Rezultati!C42*Rezultati!AP42</f>
        <v>0</v>
      </c>
      <c r="E42" s="245"/>
      <c r="F42" s="246"/>
      <c r="G42" s="246"/>
      <c r="H42" s="247"/>
      <c r="I42" s="216">
        <v>226</v>
      </c>
      <c r="J42" s="217">
        <v>190</v>
      </c>
      <c r="K42" s="217">
        <v>190</v>
      </c>
      <c r="L42" s="218">
        <v>171</v>
      </c>
      <c r="M42" s="216">
        <v>193</v>
      </c>
      <c r="N42" s="217">
        <v>196</v>
      </c>
      <c r="O42" s="217">
        <v>166</v>
      </c>
      <c r="P42" s="218">
        <v>131</v>
      </c>
      <c r="Q42" s="293">
        <v>181</v>
      </c>
      <c r="R42" s="294">
        <v>150</v>
      </c>
      <c r="S42" s="294">
        <v>134</v>
      </c>
      <c r="T42" s="295">
        <v>192</v>
      </c>
      <c r="U42" s="243">
        <v>179</v>
      </c>
      <c r="V42" s="214">
        <v>152</v>
      </c>
      <c r="W42" s="214">
        <v>167</v>
      </c>
      <c r="X42" s="244">
        <v>183</v>
      </c>
      <c r="Y42" s="213">
        <v>136</v>
      </c>
      <c r="Z42" s="214">
        <v>183</v>
      </c>
      <c r="AA42" s="214">
        <v>140</v>
      </c>
      <c r="AB42" s="215">
        <v>146</v>
      </c>
      <c r="AC42" s="243">
        <v>164</v>
      </c>
      <c r="AD42" s="214">
        <v>171</v>
      </c>
      <c r="AE42" s="214">
        <v>181</v>
      </c>
      <c r="AF42" s="215">
        <v>197</v>
      </c>
      <c r="AG42" s="206"/>
      <c r="AH42" s="147"/>
      <c r="AI42" s="147"/>
      <c r="AJ42" s="148"/>
      <c r="AK42" s="216"/>
      <c r="AL42" s="217"/>
      <c r="AM42" s="217"/>
      <c r="AN42" s="218"/>
      <c r="AO42" s="248">
        <f>SUM(Rezultati!E42:AN42)</f>
        <v>4119</v>
      </c>
      <c r="AP42" s="249">
        <f>COUNT(Rezultati!E42:AN42)</f>
        <v>24</v>
      </c>
      <c r="AQ42" s="292"/>
      <c r="AR42" s="141">
        <f>Rezultati!AO42/Rezultati!AP42</f>
        <v>171.625</v>
      </c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3"/>
    </row>
    <row r="43" spans="1:60" ht="16.5">
      <c r="A43" s="242" t="s">
        <v>33</v>
      </c>
      <c r="B43" s="228"/>
      <c r="C43" s="158">
        <v>0</v>
      </c>
      <c r="D43" s="127">
        <f>Rezultati!C43*Rezultati!AP43</f>
        <v>0</v>
      </c>
      <c r="E43" s="245"/>
      <c r="F43" s="246"/>
      <c r="G43" s="246"/>
      <c r="H43" s="247"/>
      <c r="I43" s="216"/>
      <c r="J43" s="217"/>
      <c r="K43" s="217"/>
      <c r="L43" s="218"/>
      <c r="M43" s="216"/>
      <c r="N43" s="217"/>
      <c r="O43" s="217"/>
      <c r="P43" s="218"/>
      <c r="Q43" s="293"/>
      <c r="R43" s="294"/>
      <c r="S43" s="294"/>
      <c r="T43" s="295"/>
      <c r="U43" s="243"/>
      <c r="V43" s="214"/>
      <c r="W43" s="214"/>
      <c r="X43" s="244"/>
      <c r="Y43" s="213"/>
      <c r="Z43" s="214"/>
      <c r="AA43" s="214"/>
      <c r="AB43" s="215"/>
      <c r="AC43" s="243"/>
      <c r="AD43" s="214"/>
      <c r="AE43" s="214"/>
      <c r="AF43" s="215"/>
      <c r="AG43" s="206"/>
      <c r="AH43" s="147"/>
      <c r="AI43" s="147"/>
      <c r="AJ43" s="148"/>
      <c r="AK43" s="216"/>
      <c r="AL43" s="217"/>
      <c r="AM43" s="217"/>
      <c r="AN43" s="218"/>
      <c r="AO43" s="248">
        <f>SUM(Rezultati!E43:AN43)</f>
        <v>0</v>
      </c>
      <c r="AP43" s="249">
        <f>COUNT(Rezultati!E43:AN43)</f>
        <v>0</v>
      </c>
      <c r="AQ43" s="292"/>
      <c r="AR43" s="141" t="e">
        <f>Rezultati!AO43/Rezultati!AP43</f>
        <v>#DIV/0!</v>
      </c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3"/>
    </row>
    <row r="44" spans="1:60" ht="16.5">
      <c r="A44" s="250" t="s">
        <v>33</v>
      </c>
      <c r="B44" s="173" t="s">
        <v>77</v>
      </c>
      <c r="C44" s="174">
        <v>8</v>
      </c>
      <c r="D44" s="127">
        <f>Rezultati!C44*Rezultati!AP44</f>
        <v>224</v>
      </c>
      <c r="E44" s="181">
        <v>190</v>
      </c>
      <c r="F44" s="182">
        <f>178+8</f>
        <v>186</v>
      </c>
      <c r="G44" s="182">
        <f>127+8</f>
        <v>135</v>
      </c>
      <c r="H44" s="183">
        <v>138</v>
      </c>
      <c r="I44" s="184">
        <f>153+8</f>
        <v>161</v>
      </c>
      <c r="J44" s="176">
        <f>167+8</f>
        <v>175</v>
      </c>
      <c r="K44" s="176">
        <f>179+8</f>
        <v>187</v>
      </c>
      <c r="L44" s="185">
        <v>180</v>
      </c>
      <c r="M44" s="184">
        <f>168+8</f>
        <v>176</v>
      </c>
      <c r="N44" s="176">
        <f>168+8</f>
        <v>176</v>
      </c>
      <c r="O44" s="176">
        <f>176+8</f>
        <v>184</v>
      </c>
      <c r="P44" s="185">
        <v>170</v>
      </c>
      <c r="Q44" s="224">
        <f>155+8</f>
        <v>163</v>
      </c>
      <c r="R44" s="225">
        <f>159+8</f>
        <v>167</v>
      </c>
      <c r="S44" s="225">
        <f>144+8</f>
        <v>152</v>
      </c>
      <c r="T44" s="226">
        <f>137+8</f>
        <v>145</v>
      </c>
      <c r="U44" s="296">
        <f>133+8</f>
        <v>141</v>
      </c>
      <c r="V44" s="225">
        <f>188+8</f>
        <v>196</v>
      </c>
      <c r="W44" s="225">
        <f>168+8</f>
        <v>176</v>
      </c>
      <c r="X44" s="297">
        <f>8+147</f>
        <v>155</v>
      </c>
      <c r="Y44" s="224">
        <f>163+8</f>
        <v>171</v>
      </c>
      <c r="Z44" s="225">
        <f>164+8</f>
        <v>172</v>
      </c>
      <c r="AA44" s="225">
        <f>166+8</f>
        <v>174</v>
      </c>
      <c r="AB44" s="226">
        <f>125+8</f>
        <v>133</v>
      </c>
      <c r="AC44" s="296">
        <f>142+8</f>
        <v>150</v>
      </c>
      <c r="AD44" s="225">
        <v>148</v>
      </c>
      <c r="AE44" s="225">
        <f>156+8</f>
        <v>164</v>
      </c>
      <c r="AF44" s="226">
        <f>159+8</f>
        <v>167</v>
      </c>
      <c r="AG44" s="236"/>
      <c r="AH44" s="237"/>
      <c r="AI44" s="237"/>
      <c r="AJ44" s="238"/>
      <c r="AK44" s="184"/>
      <c r="AL44" s="176"/>
      <c r="AM44" s="176"/>
      <c r="AN44" s="185"/>
      <c r="AO44" s="248">
        <f>SUM(Rezultati!E44:AN44)</f>
        <v>4632</v>
      </c>
      <c r="AP44" s="249">
        <f>COUNT(Rezultati!E44:AN44)</f>
        <v>28</v>
      </c>
      <c r="AQ44" s="292"/>
      <c r="AR44" s="141">
        <f>(Rezultati!AO44/Rezultati!AP44)-8</f>
        <v>157.42857142857142</v>
      </c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3"/>
    </row>
    <row r="45" spans="1:60" ht="8.25" customHeight="1">
      <c r="A45" s="266"/>
      <c r="B45" s="125"/>
      <c r="C45" s="190">
        <v>0</v>
      </c>
      <c r="D45" s="127">
        <f>Rezultati!C45*Rezultati!AP45</f>
        <v>0</v>
      </c>
      <c r="E45" s="198"/>
      <c r="F45" s="196"/>
      <c r="G45" s="196"/>
      <c r="H45" s="199"/>
      <c r="I45" s="195"/>
      <c r="J45" s="196"/>
      <c r="K45" s="196"/>
      <c r="L45" s="197"/>
      <c r="M45" s="195"/>
      <c r="N45" s="196"/>
      <c r="O45" s="196"/>
      <c r="P45" s="197"/>
      <c r="Q45" s="191"/>
      <c r="R45" s="192"/>
      <c r="S45" s="192"/>
      <c r="T45" s="193"/>
      <c r="U45" s="298"/>
      <c r="V45" s="192"/>
      <c r="W45" s="192"/>
      <c r="X45" s="299"/>
      <c r="Y45" s="191"/>
      <c r="Z45" s="192"/>
      <c r="AA45" s="192"/>
      <c r="AB45" s="193"/>
      <c r="AC45" s="298"/>
      <c r="AD45" s="192"/>
      <c r="AE45" s="192"/>
      <c r="AF45" s="193"/>
      <c r="AG45" s="298"/>
      <c r="AH45" s="192"/>
      <c r="AI45" s="192"/>
      <c r="AJ45" s="299"/>
      <c r="AK45" s="206"/>
      <c r="AL45" s="147"/>
      <c r="AM45" s="147"/>
      <c r="AN45" s="148"/>
      <c r="AO45" s="138">
        <f>SUM(Rezultati!E45:AN45)</f>
        <v>0</v>
      </c>
      <c r="AP45" s="139">
        <f>COUNT(Rezultati!E45:AN45)</f>
        <v>0</v>
      </c>
      <c r="AQ45" s="200" t="e">
        <f>SUM((Rezultati!AO45+Rezultati!AO46+Rezultati!AO47+Rezultati!AO48+Rezultati!AO49+Rezultati!AO50)/(Rezultati!AP45+Rezultati!AP46+Rezultati!AP47+Rezultati!AP48+Rezultati!AP49+Rezultati!AP50))</f>
        <v>#DIV/0!</v>
      </c>
      <c r="AR45" s="141" t="e">
        <f>Rezultati!AO45/Rezultati!AP45</f>
        <v>#DIV/0!</v>
      </c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</row>
    <row r="46" spans="1:60" ht="16.5" hidden="1">
      <c r="A46" s="242"/>
      <c r="B46" s="228"/>
      <c r="C46" s="158">
        <v>0</v>
      </c>
      <c r="D46" s="127">
        <f>Rezultati!C46*Rezultati!AP46</f>
        <v>0</v>
      </c>
      <c r="E46" s="219"/>
      <c r="F46" s="217"/>
      <c r="G46" s="217"/>
      <c r="H46" s="220"/>
      <c r="I46" s="216"/>
      <c r="J46" s="217"/>
      <c r="K46" s="217"/>
      <c r="L46" s="218"/>
      <c r="M46" s="216"/>
      <c r="N46" s="217"/>
      <c r="O46" s="217"/>
      <c r="P46" s="218"/>
      <c r="Q46" s="213"/>
      <c r="R46" s="214"/>
      <c r="S46" s="214"/>
      <c r="T46" s="215"/>
      <c r="U46" s="243"/>
      <c r="V46" s="214"/>
      <c r="W46" s="214"/>
      <c r="X46" s="244"/>
      <c r="Y46" s="213"/>
      <c r="Z46" s="214"/>
      <c r="AA46" s="214"/>
      <c r="AB46" s="215"/>
      <c r="AC46" s="243"/>
      <c r="AD46" s="214"/>
      <c r="AE46" s="214"/>
      <c r="AF46" s="215"/>
      <c r="AG46" s="243"/>
      <c r="AH46" s="214"/>
      <c r="AI46" s="214"/>
      <c r="AJ46" s="244"/>
      <c r="AK46" s="206"/>
      <c r="AL46" s="147"/>
      <c r="AM46" s="147"/>
      <c r="AN46" s="148"/>
      <c r="AO46" s="138">
        <f>SUM(Rezultati!E46:AN46)</f>
        <v>0</v>
      </c>
      <c r="AP46" s="139">
        <f>COUNT(Rezultati!E46:AN46)</f>
        <v>0</v>
      </c>
      <c r="AQ46" s="200"/>
      <c r="AR46" s="141" t="e">
        <f>Rezultati!AO46/Rezultati!AP46</f>
        <v>#DIV/0!</v>
      </c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3"/>
    </row>
    <row r="47" spans="1:60" ht="16.5" hidden="1">
      <c r="A47" s="242"/>
      <c r="B47" s="228"/>
      <c r="C47" s="158">
        <v>0</v>
      </c>
      <c r="D47" s="127">
        <f>Rezultati!C47*Rezultati!AP47</f>
        <v>0</v>
      </c>
      <c r="E47" s="219"/>
      <c r="F47" s="217"/>
      <c r="G47" s="217"/>
      <c r="H47" s="220"/>
      <c r="I47" s="216"/>
      <c r="J47" s="217"/>
      <c r="K47" s="217"/>
      <c r="L47" s="218"/>
      <c r="M47" s="216"/>
      <c r="N47" s="217"/>
      <c r="O47" s="217"/>
      <c r="P47" s="218"/>
      <c r="Q47" s="213"/>
      <c r="R47" s="214"/>
      <c r="S47" s="214"/>
      <c r="T47" s="215"/>
      <c r="U47" s="243"/>
      <c r="V47" s="214"/>
      <c r="W47" s="214"/>
      <c r="X47" s="244"/>
      <c r="Y47" s="213"/>
      <c r="Z47" s="214"/>
      <c r="AA47" s="214"/>
      <c r="AB47" s="215"/>
      <c r="AC47" s="243"/>
      <c r="AD47" s="214"/>
      <c r="AE47" s="214"/>
      <c r="AF47" s="215"/>
      <c r="AG47" s="243"/>
      <c r="AH47" s="214"/>
      <c r="AI47" s="214"/>
      <c r="AJ47" s="244"/>
      <c r="AK47" s="206"/>
      <c r="AL47" s="147"/>
      <c r="AM47" s="147"/>
      <c r="AN47" s="148"/>
      <c r="AO47" s="138">
        <f>SUM(Rezultati!E47:AN47)</f>
        <v>0</v>
      </c>
      <c r="AP47" s="139">
        <f>COUNT(Rezultati!E47:AN47)</f>
        <v>0</v>
      </c>
      <c r="AQ47" s="200"/>
      <c r="AR47" s="141" t="e">
        <f>Rezultati!AO47/Rezultati!AP47</f>
        <v>#DIV/0!</v>
      </c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3"/>
    </row>
    <row r="48" spans="1:60" ht="16.5" hidden="1">
      <c r="A48" s="242"/>
      <c r="B48" s="228"/>
      <c r="C48" s="158">
        <v>0</v>
      </c>
      <c r="D48" s="127">
        <f>Rezultati!C48*Rezultati!AP48</f>
        <v>0</v>
      </c>
      <c r="E48" s="219"/>
      <c r="F48" s="217"/>
      <c r="G48" s="217"/>
      <c r="H48" s="220"/>
      <c r="I48" s="216"/>
      <c r="J48" s="217"/>
      <c r="K48" s="217"/>
      <c r="L48" s="218"/>
      <c r="M48" s="216"/>
      <c r="N48" s="217"/>
      <c r="O48" s="217"/>
      <c r="P48" s="218"/>
      <c r="Q48" s="213"/>
      <c r="R48" s="214"/>
      <c r="S48" s="214"/>
      <c r="T48" s="215"/>
      <c r="U48" s="243"/>
      <c r="V48" s="214"/>
      <c r="W48" s="214"/>
      <c r="X48" s="244"/>
      <c r="Y48" s="213"/>
      <c r="Z48" s="214"/>
      <c r="AA48" s="214"/>
      <c r="AB48" s="215"/>
      <c r="AC48" s="243"/>
      <c r="AD48" s="214"/>
      <c r="AE48" s="214"/>
      <c r="AF48" s="215"/>
      <c r="AG48" s="243"/>
      <c r="AH48" s="214"/>
      <c r="AI48" s="214"/>
      <c r="AJ48" s="244"/>
      <c r="AK48" s="206"/>
      <c r="AL48" s="147"/>
      <c r="AM48" s="147"/>
      <c r="AN48" s="148"/>
      <c r="AO48" s="138">
        <f>SUM(Rezultati!E48:AN48)</f>
        <v>0</v>
      </c>
      <c r="AP48" s="139">
        <f>COUNT(Rezultati!E48:AN48)</f>
        <v>0</v>
      </c>
      <c r="AQ48" s="200"/>
      <c r="AR48" s="141" t="e">
        <f>Rezultati!AO48/Rezultati!AP48</f>
        <v>#DIV/0!</v>
      </c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3"/>
    </row>
    <row r="49" spans="1:60" ht="16.5" hidden="1">
      <c r="A49" s="300"/>
      <c r="B49" s="301"/>
      <c r="C49" s="302">
        <v>0</v>
      </c>
      <c r="D49" s="127">
        <f>Rezultati!C49*Rezultati!AP49</f>
        <v>0</v>
      </c>
      <c r="E49" s="303"/>
      <c r="F49" s="304"/>
      <c r="G49" s="304"/>
      <c r="H49" s="305"/>
      <c r="I49" s="306"/>
      <c r="J49" s="304"/>
      <c r="K49" s="304"/>
      <c r="L49" s="307"/>
      <c r="M49" s="306"/>
      <c r="N49" s="304"/>
      <c r="O49" s="304"/>
      <c r="P49" s="307"/>
      <c r="Q49" s="308"/>
      <c r="R49" s="309"/>
      <c r="S49" s="309"/>
      <c r="T49" s="310"/>
      <c r="U49" s="311"/>
      <c r="V49" s="309"/>
      <c r="W49" s="309"/>
      <c r="X49" s="127"/>
      <c r="Y49" s="308"/>
      <c r="Z49" s="309"/>
      <c r="AA49" s="309"/>
      <c r="AB49" s="310"/>
      <c r="AC49" s="311"/>
      <c r="AD49" s="309"/>
      <c r="AE49" s="309"/>
      <c r="AF49" s="310"/>
      <c r="AG49" s="311"/>
      <c r="AH49" s="309"/>
      <c r="AI49" s="309"/>
      <c r="AJ49" s="127"/>
      <c r="AK49" s="236"/>
      <c r="AL49" s="237"/>
      <c r="AM49" s="237"/>
      <c r="AN49" s="238"/>
      <c r="AO49" s="138">
        <f>SUM(Rezultati!E49:AN49)</f>
        <v>0</v>
      </c>
      <c r="AP49" s="139">
        <f>COUNT(Rezultati!E49:AN49)</f>
        <v>0</v>
      </c>
      <c r="AQ49" s="200"/>
      <c r="AR49" s="141" t="e">
        <f>Rezultati!AO49/Rezultati!AP49</f>
        <v>#DIV/0!</v>
      </c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3"/>
    </row>
    <row r="50" spans="1:60" ht="16.5" hidden="1">
      <c r="A50" s="300"/>
      <c r="B50" s="301"/>
      <c r="C50" s="302">
        <v>0</v>
      </c>
      <c r="D50" s="127">
        <f>Rezultati!C50*Rezultati!AP50</f>
        <v>0</v>
      </c>
      <c r="E50" s="303"/>
      <c r="F50" s="304"/>
      <c r="G50" s="304"/>
      <c r="H50" s="305"/>
      <c r="I50" s="306"/>
      <c r="J50" s="304"/>
      <c r="K50" s="304"/>
      <c r="L50" s="307"/>
      <c r="M50" s="306"/>
      <c r="N50" s="304"/>
      <c r="O50" s="304"/>
      <c r="P50" s="307"/>
      <c r="Q50" s="308"/>
      <c r="R50" s="309"/>
      <c r="S50" s="309"/>
      <c r="T50" s="310"/>
      <c r="U50" s="311"/>
      <c r="V50" s="309"/>
      <c r="W50" s="309"/>
      <c r="X50" s="127"/>
      <c r="Y50" s="308"/>
      <c r="Z50" s="309"/>
      <c r="AA50" s="309"/>
      <c r="AB50" s="310"/>
      <c r="AC50" s="311"/>
      <c r="AD50" s="309"/>
      <c r="AE50" s="309"/>
      <c r="AF50" s="310"/>
      <c r="AG50" s="311"/>
      <c r="AH50" s="309"/>
      <c r="AI50" s="309"/>
      <c r="AJ50" s="127"/>
      <c r="AK50" s="206"/>
      <c r="AL50" s="147"/>
      <c r="AM50" s="147"/>
      <c r="AN50" s="148"/>
      <c r="AO50" s="138">
        <f>SUM(Rezultati!E50:AN50)</f>
        <v>0</v>
      </c>
      <c r="AP50" s="139">
        <f>COUNT(Rezultati!E50:AN50)</f>
        <v>0</v>
      </c>
      <c r="AQ50" s="200"/>
      <c r="AR50" s="141" t="e">
        <f>Rezultati!AO50/Rezultati!AP50</f>
        <v>#DIV/0!</v>
      </c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3"/>
    </row>
    <row r="51" spans="1:256" s="321" customFormat="1" ht="14.25">
      <c r="A51" s="312"/>
      <c r="B51" s="313"/>
      <c r="C51" s="314"/>
      <c r="D51" s="314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5"/>
      <c r="AH51" s="315"/>
      <c r="AI51" s="315"/>
      <c r="AJ51" s="313"/>
      <c r="AK51" s="315"/>
      <c r="AL51" s="315"/>
      <c r="AM51" s="315"/>
      <c r="AN51" s="313"/>
      <c r="AO51" s="316"/>
      <c r="AP51" s="317"/>
      <c r="AQ51" s="317"/>
      <c r="AR51" s="318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20"/>
      <c r="HS51" s="322"/>
      <c r="HT51" s="322"/>
      <c r="HU51" s="322"/>
      <c r="HV51" s="322"/>
      <c r="HW51" s="322"/>
      <c r="HX51" s="322"/>
      <c r="HY51" s="322"/>
      <c r="HZ51" s="322"/>
      <c r="IA51" s="322"/>
      <c r="IB51" s="322"/>
      <c r="IC51" s="322"/>
      <c r="ID51" s="322"/>
      <c r="IE51" s="322"/>
      <c r="IF51" s="322"/>
      <c r="IG51" s="322"/>
      <c r="IH51" s="322"/>
      <c r="II51" s="322"/>
      <c r="IJ51" s="322"/>
      <c r="IK51" s="322"/>
      <c r="IL51" s="322"/>
      <c r="IM51" s="322"/>
      <c r="IN51" s="322"/>
      <c r="IO51" s="322"/>
      <c r="IP51" s="322"/>
      <c r="IQ51" s="322"/>
      <c r="IR51" s="322"/>
      <c r="IS51" s="322"/>
      <c r="IT51" s="322"/>
      <c r="IU51" s="323"/>
      <c r="IV51" s="323"/>
    </row>
    <row r="52" spans="1:60" ht="16.5">
      <c r="A52" s="324"/>
      <c r="B52" s="325"/>
      <c r="C52" s="324"/>
      <c r="D52" s="324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6"/>
      <c r="AP52" s="101"/>
      <c r="AQ52" s="101"/>
      <c r="AR52" s="327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3"/>
    </row>
    <row r="53" spans="1:60" ht="16.5">
      <c r="A53" s="324"/>
      <c r="B53" s="325"/>
      <c r="C53" s="328"/>
      <c r="D53" s="328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5"/>
      <c r="R53" s="325"/>
      <c r="S53" s="325"/>
      <c r="T53" s="325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5"/>
      <c r="AH53" s="325"/>
      <c r="AI53" s="325"/>
      <c r="AJ53" s="325"/>
      <c r="AK53" s="325"/>
      <c r="AL53" s="325"/>
      <c r="AM53" s="325"/>
      <c r="AN53" s="325"/>
      <c r="AO53" s="330"/>
      <c r="AP53" s="331"/>
      <c r="AQ53" s="331"/>
      <c r="AR53" s="33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3"/>
    </row>
    <row r="54" spans="1:60" ht="16.5">
      <c r="A54" s="324"/>
      <c r="B54" s="325"/>
      <c r="C54" s="324"/>
      <c r="D54" s="324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6"/>
      <c r="AP54" s="101"/>
      <c r="AQ54" s="101"/>
      <c r="AR54" s="327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3"/>
    </row>
    <row r="55" spans="1:60" ht="16.5">
      <c r="A55" s="324"/>
      <c r="B55" s="325"/>
      <c r="C55" s="324"/>
      <c r="D55" s="324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6"/>
      <c r="AP55" s="101"/>
      <c r="AQ55" s="101"/>
      <c r="AR55" s="327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3"/>
    </row>
    <row r="56" spans="1:60" ht="16.5">
      <c r="A56" s="325"/>
      <c r="B56" s="324"/>
      <c r="C56" s="324"/>
      <c r="D56" s="324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6"/>
      <c r="AP56" s="101"/>
      <c r="AQ56" s="101"/>
      <c r="AR56" s="327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3"/>
    </row>
    <row r="57" spans="1:60" ht="16.5">
      <c r="A57" s="325"/>
      <c r="B57" s="324"/>
      <c r="C57" s="328"/>
      <c r="D57" s="328"/>
      <c r="E57" s="325"/>
      <c r="F57" s="325"/>
      <c r="G57" s="325"/>
      <c r="H57" s="325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9"/>
      <c r="AH57" s="329"/>
      <c r="AI57" s="329"/>
      <c r="AJ57" s="329"/>
      <c r="AK57" s="329"/>
      <c r="AL57" s="329"/>
      <c r="AM57" s="329"/>
      <c r="AN57" s="329"/>
      <c r="AO57" s="330"/>
      <c r="AP57" s="331"/>
      <c r="AQ57" s="331"/>
      <c r="AR57" s="33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3"/>
    </row>
    <row r="58" spans="1:60" ht="16.5">
      <c r="A58" s="325"/>
      <c r="B58" s="324"/>
      <c r="C58" s="324"/>
      <c r="D58" s="324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6"/>
      <c r="AP58" s="101"/>
      <c r="AQ58" s="101"/>
      <c r="AR58" s="327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3"/>
    </row>
    <row r="59" spans="1:60" ht="16.5">
      <c r="A59" s="325"/>
      <c r="B59" s="324"/>
      <c r="C59" s="328"/>
      <c r="D59" s="328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5"/>
      <c r="V59" s="325"/>
      <c r="W59" s="325"/>
      <c r="X59" s="325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30"/>
      <c r="AP59" s="331"/>
      <c r="AQ59" s="331"/>
      <c r="AR59" s="33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3"/>
    </row>
    <row r="60" spans="1:60" ht="16.5">
      <c r="A60" s="325"/>
      <c r="B60" s="324"/>
      <c r="C60" s="324"/>
      <c r="D60" s="324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6"/>
      <c r="AP60" s="101"/>
      <c r="AQ60" s="101"/>
      <c r="AR60" s="327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3"/>
    </row>
    <row r="61" spans="1:60" ht="16.5">
      <c r="A61" s="325"/>
      <c r="B61" s="324"/>
      <c r="C61" s="328"/>
      <c r="D61" s="328"/>
      <c r="E61" s="329"/>
      <c r="F61" s="329"/>
      <c r="G61" s="329"/>
      <c r="H61" s="329"/>
      <c r="I61" s="325"/>
      <c r="J61" s="325"/>
      <c r="K61" s="325"/>
      <c r="L61" s="325"/>
      <c r="M61" s="325"/>
      <c r="N61" s="325"/>
      <c r="O61" s="325"/>
      <c r="P61" s="325"/>
      <c r="Q61" s="329"/>
      <c r="R61" s="325"/>
      <c r="S61" s="325"/>
      <c r="T61" s="329"/>
      <c r="U61" s="325"/>
      <c r="V61" s="325"/>
      <c r="W61" s="325"/>
      <c r="X61" s="325"/>
      <c r="Y61" s="329"/>
      <c r="Z61" s="329"/>
      <c r="AA61" s="329"/>
      <c r="AB61" s="329"/>
      <c r="AC61" s="329"/>
      <c r="AD61" s="329"/>
      <c r="AE61" s="329"/>
      <c r="AF61" s="329"/>
      <c r="AG61" s="325"/>
      <c r="AH61" s="325"/>
      <c r="AI61" s="325"/>
      <c r="AJ61" s="325"/>
      <c r="AK61" s="325"/>
      <c r="AL61" s="325"/>
      <c r="AM61" s="325"/>
      <c r="AN61" s="325"/>
      <c r="AO61" s="330"/>
      <c r="AP61" s="331"/>
      <c r="AQ61" s="331"/>
      <c r="AR61" s="33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3"/>
    </row>
    <row r="62" spans="1:60" ht="16.5">
      <c r="A62" s="325"/>
      <c r="B62" s="324"/>
      <c r="C62" s="324"/>
      <c r="D62" s="324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6"/>
      <c r="AP62" s="101"/>
      <c r="AQ62" s="101"/>
      <c r="AR62" s="327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3"/>
    </row>
    <row r="63" spans="1:60" ht="16.5">
      <c r="A63" s="325"/>
      <c r="B63" s="324"/>
      <c r="C63" s="328"/>
      <c r="D63" s="328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5"/>
      <c r="U63" s="325"/>
      <c r="V63" s="325"/>
      <c r="W63" s="325"/>
      <c r="X63" s="325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30"/>
      <c r="AP63" s="331"/>
      <c r="AQ63" s="331"/>
      <c r="AR63" s="33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3"/>
    </row>
    <row r="64" spans="1:60" ht="16.5">
      <c r="A64" s="325"/>
      <c r="B64" s="325"/>
      <c r="C64" s="324"/>
      <c r="D64" s="324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9"/>
      <c r="AH64" s="329"/>
      <c r="AI64" s="329"/>
      <c r="AJ64" s="329"/>
      <c r="AK64" s="329"/>
      <c r="AL64" s="329"/>
      <c r="AM64" s="329"/>
      <c r="AN64" s="329"/>
      <c r="AO64" s="330"/>
      <c r="AP64" s="101"/>
      <c r="AQ64" s="101"/>
      <c r="AR64" s="327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3"/>
    </row>
    <row r="65" spans="1:60" ht="16.5">
      <c r="A65" s="325"/>
      <c r="B65" s="325"/>
      <c r="C65" s="328"/>
      <c r="D65" s="328"/>
      <c r="E65" s="325"/>
      <c r="F65" s="325"/>
      <c r="G65" s="325"/>
      <c r="H65" s="325"/>
      <c r="I65" s="329"/>
      <c r="J65" s="329"/>
      <c r="K65" s="329"/>
      <c r="L65" s="329"/>
      <c r="M65" s="329"/>
      <c r="N65" s="329"/>
      <c r="O65" s="329"/>
      <c r="P65" s="329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9"/>
      <c r="AH65" s="329"/>
      <c r="AI65" s="329"/>
      <c r="AJ65" s="329"/>
      <c r="AK65" s="329"/>
      <c r="AL65" s="329"/>
      <c r="AM65" s="329"/>
      <c r="AN65" s="329"/>
      <c r="AO65" s="330"/>
      <c r="AP65" s="331"/>
      <c r="AQ65" s="331"/>
      <c r="AR65" s="33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3"/>
    </row>
    <row r="66" spans="1:60" ht="16.5">
      <c r="A66" s="325"/>
      <c r="B66" s="325"/>
      <c r="C66" s="324"/>
      <c r="D66" s="324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9"/>
      <c r="S66" s="329"/>
      <c r="T66" s="329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6"/>
      <c r="AP66" s="101"/>
      <c r="AQ66" s="101"/>
      <c r="AR66" s="327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3"/>
    </row>
    <row r="67" spans="1:60" ht="16.5">
      <c r="A67" s="325"/>
      <c r="B67" s="325"/>
      <c r="C67" s="328"/>
      <c r="D67" s="328"/>
      <c r="E67" s="329"/>
      <c r="F67" s="329"/>
      <c r="G67" s="329"/>
      <c r="H67" s="329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9"/>
      <c r="Z67" s="329"/>
      <c r="AA67" s="329"/>
      <c r="AB67" s="329"/>
      <c r="AC67" s="329"/>
      <c r="AD67" s="329"/>
      <c r="AE67" s="329"/>
      <c r="AF67" s="329"/>
      <c r="AG67" s="325"/>
      <c r="AH67" s="325"/>
      <c r="AI67" s="325"/>
      <c r="AJ67" s="325"/>
      <c r="AK67" s="325"/>
      <c r="AL67" s="325"/>
      <c r="AM67" s="325"/>
      <c r="AN67" s="325"/>
      <c r="AO67" s="330"/>
      <c r="AP67" s="331"/>
      <c r="AQ67" s="331"/>
      <c r="AR67" s="333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3"/>
    </row>
    <row r="68" spans="1:60" ht="16.5">
      <c r="A68" s="325"/>
      <c r="B68" s="325"/>
      <c r="C68" s="324"/>
      <c r="D68" s="324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6"/>
      <c r="AP68" s="101"/>
      <c r="AQ68" s="101"/>
      <c r="AR68" s="327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3"/>
    </row>
    <row r="69" spans="1:60" ht="16.5">
      <c r="A69" s="325"/>
      <c r="B69" s="325"/>
      <c r="C69" s="328"/>
      <c r="D69" s="328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5"/>
      <c r="Z69" s="325"/>
      <c r="AA69" s="325"/>
      <c r="AB69" s="325"/>
      <c r="AC69" s="325"/>
      <c r="AD69" s="325"/>
      <c r="AE69" s="325"/>
      <c r="AF69" s="325"/>
      <c r="AG69" s="329"/>
      <c r="AH69" s="329"/>
      <c r="AI69" s="329"/>
      <c r="AJ69" s="329"/>
      <c r="AK69" s="329"/>
      <c r="AL69" s="329"/>
      <c r="AM69" s="329"/>
      <c r="AN69" s="329"/>
      <c r="AO69" s="330"/>
      <c r="AP69" s="331"/>
      <c r="AQ69" s="331"/>
      <c r="AR69" s="33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3"/>
    </row>
    <row r="70" spans="1:60" ht="16.5">
      <c r="A70" s="325"/>
      <c r="B70" s="325"/>
      <c r="C70" s="324"/>
      <c r="D70" s="324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6"/>
      <c r="AP70" s="101"/>
      <c r="AQ70" s="101"/>
      <c r="AR70" s="327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3"/>
    </row>
    <row r="71" spans="1:60" ht="16.5">
      <c r="A71" s="325"/>
      <c r="B71" s="325"/>
      <c r="C71" s="328"/>
      <c r="D71" s="328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5"/>
      <c r="Z71" s="325"/>
      <c r="AA71" s="325"/>
      <c r="AB71" s="325"/>
      <c r="AC71" s="325"/>
      <c r="AD71" s="325"/>
      <c r="AE71" s="325"/>
      <c r="AF71" s="325"/>
      <c r="AG71" s="329"/>
      <c r="AH71" s="329"/>
      <c r="AI71" s="329"/>
      <c r="AJ71" s="329"/>
      <c r="AK71" s="329"/>
      <c r="AL71" s="329"/>
      <c r="AM71" s="329"/>
      <c r="AN71" s="329"/>
      <c r="AO71" s="330"/>
      <c r="AP71" s="331"/>
      <c r="AQ71" s="331"/>
      <c r="AR71" s="33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3"/>
    </row>
    <row r="72" spans="1:60" ht="16.5">
      <c r="A72" s="325"/>
      <c r="B72" s="325"/>
      <c r="C72" s="324"/>
      <c r="D72" s="324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6"/>
      <c r="AP72" s="101"/>
      <c r="AQ72" s="101"/>
      <c r="AR72" s="327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3"/>
    </row>
    <row r="73" spans="1:60" ht="16.5">
      <c r="A73" s="325"/>
      <c r="B73" s="325"/>
      <c r="C73" s="328"/>
      <c r="D73" s="328"/>
      <c r="E73" s="329"/>
      <c r="F73" s="329"/>
      <c r="G73" s="329"/>
      <c r="H73" s="329"/>
      <c r="I73" s="329"/>
      <c r="J73" s="329"/>
      <c r="K73" s="329"/>
      <c r="L73" s="329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9"/>
      <c r="AH73" s="329"/>
      <c r="AI73" s="329"/>
      <c r="AJ73" s="329"/>
      <c r="AK73" s="329"/>
      <c r="AL73" s="329"/>
      <c r="AM73" s="329"/>
      <c r="AN73" s="329"/>
      <c r="AO73" s="330"/>
      <c r="AP73" s="331"/>
      <c r="AQ73" s="331"/>
      <c r="AR73" s="33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3"/>
    </row>
    <row r="74" spans="1:60" ht="16.5">
      <c r="A74" s="325"/>
      <c r="B74" s="325"/>
      <c r="C74" s="324"/>
      <c r="D74" s="324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6"/>
      <c r="AP74" s="101"/>
      <c r="AQ74" s="101"/>
      <c r="AR74" s="327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3"/>
    </row>
    <row r="75" spans="1:60" ht="16.5">
      <c r="A75" s="325"/>
      <c r="B75" s="325"/>
      <c r="C75" s="328"/>
      <c r="D75" s="328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5"/>
      <c r="Z75" s="325"/>
      <c r="AA75" s="325"/>
      <c r="AB75" s="325"/>
      <c r="AC75" s="325"/>
      <c r="AD75" s="325"/>
      <c r="AE75" s="325"/>
      <c r="AF75" s="325"/>
      <c r="AG75" s="329"/>
      <c r="AH75" s="329"/>
      <c r="AI75" s="329"/>
      <c r="AJ75" s="329"/>
      <c r="AK75" s="329"/>
      <c r="AL75" s="329"/>
      <c r="AM75" s="329"/>
      <c r="AN75" s="329"/>
      <c r="AO75" s="330"/>
      <c r="AP75" s="331"/>
      <c r="AQ75" s="331"/>
      <c r="AR75" s="33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3"/>
    </row>
    <row r="76" spans="1:60" ht="16.5">
      <c r="A76" s="325"/>
      <c r="B76" s="325"/>
      <c r="C76" s="324"/>
      <c r="D76" s="324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6"/>
      <c r="AP76" s="101"/>
      <c r="AQ76" s="101"/>
      <c r="AR76" s="327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3"/>
    </row>
    <row r="77" spans="1:60" ht="16.5">
      <c r="A77" s="325"/>
      <c r="B77" s="325"/>
      <c r="C77" s="328"/>
      <c r="D77" s="328"/>
      <c r="E77" s="325"/>
      <c r="F77" s="325"/>
      <c r="G77" s="325"/>
      <c r="H77" s="325"/>
      <c r="I77" s="325"/>
      <c r="J77" s="325"/>
      <c r="K77" s="325"/>
      <c r="L77" s="325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30"/>
      <c r="AP77" s="331"/>
      <c r="AQ77" s="331"/>
      <c r="AR77" s="33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3"/>
    </row>
    <row r="78" spans="1:60" ht="16.5">
      <c r="A78" s="325"/>
      <c r="B78" s="325"/>
      <c r="C78" s="324"/>
      <c r="D78" s="324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6"/>
      <c r="AP78" s="101"/>
      <c r="AQ78" s="101"/>
      <c r="AR78" s="327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3"/>
    </row>
    <row r="79" spans="1:60" ht="16.5">
      <c r="A79" s="325"/>
      <c r="B79" s="325"/>
      <c r="C79" s="324"/>
      <c r="D79" s="324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  <c r="AO79" s="330"/>
      <c r="AP79" s="331"/>
      <c r="AQ79" s="331"/>
      <c r="AR79" s="33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3"/>
    </row>
    <row r="80" spans="1:60" ht="16.5">
      <c r="A80" s="325"/>
      <c r="B80" s="325"/>
      <c r="C80" s="324"/>
      <c r="D80" s="324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6"/>
      <c r="AP80" s="101"/>
      <c r="AQ80" s="101"/>
      <c r="AR80" s="334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3"/>
    </row>
    <row r="81" spans="1:60" ht="16.5">
      <c r="A81" s="325"/>
      <c r="B81" s="325"/>
      <c r="C81" s="324"/>
      <c r="D81" s="324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  <c r="AO81" s="330"/>
      <c r="AP81" s="331"/>
      <c r="AQ81" s="331"/>
      <c r="AR81" s="33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3"/>
    </row>
    <row r="82" spans="1:60" ht="16.5">
      <c r="A82" s="325"/>
      <c r="B82" s="325"/>
      <c r="C82" s="324"/>
      <c r="D82" s="324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6"/>
      <c r="AP82" s="101"/>
      <c r="AQ82" s="101"/>
      <c r="AR82" s="327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3"/>
    </row>
    <row r="83" spans="1:60" ht="16.5">
      <c r="A83" s="325"/>
      <c r="B83" s="325"/>
      <c r="C83" s="328"/>
      <c r="D83" s="328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5"/>
      <c r="AH83" s="325"/>
      <c r="AI83" s="325"/>
      <c r="AJ83" s="325"/>
      <c r="AK83" s="325"/>
      <c r="AL83" s="325"/>
      <c r="AM83" s="325"/>
      <c r="AN83" s="325"/>
      <c r="AO83" s="330"/>
      <c r="AP83" s="331"/>
      <c r="AQ83" s="331"/>
      <c r="AR83" s="33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3"/>
    </row>
    <row r="84" spans="1:60" ht="16.5">
      <c r="A84" s="325"/>
      <c r="B84" s="325"/>
      <c r="C84" s="324"/>
      <c r="D84" s="324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6"/>
      <c r="AP84" s="101"/>
      <c r="AQ84" s="101"/>
      <c r="AR84" s="327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3"/>
    </row>
    <row r="85" spans="1:60" ht="16.5">
      <c r="A85" s="325"/>
      <c r="B85" s="325"/>
      <c r="C85" s="328"/>
      <c r="D85" s="328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5"/>
      <c r="AH85" s="325"/>
      <c r="AI85" s="325"/>
      <c r="AJ85" s="325"/>
      <c r="AK85" s="325"/>
      <c r="AL85" s="325"/>
      <c r="AM85" s="325"/>
      <c r="AN85" s="325"/>
      <c r="AO85" s="330"/>
      <c r="AP85" s="331"/>
      <c r="AQ85" s="331"/>
      <c r="AR85" s="33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3"/>
    </row>
    <row r="86" spans="1:60" ht="16.5">
      <c r="A86" s="325"/>
      <c r="B86" s="325"/>
      <c r="C86" s="324"/>
      <c r="D86" s="324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  <c r="AO86" s="326"/>
      <c r="AP86" s="101"/>
      <c r="AQ86" s="101"/>
      <c r="AR86" s="327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3"/>
    </row>
    <row r="87" spans="1:60" ht="16.5">
      <c r="A87" s="325"/>
      <c r="B87" s="325"/>
      <c r="C87" s="328"/>
      <c r="D87" s="328"/>
      <c r="E87" s="325"/>
      <c r="F87" s="325"/>
      <c r="G87" s="325"/>
      <c r="H87" s="325"/>
      <c r="I87" s="325"/>
      <c r="J87" s="325"/>
      <c r="K87" s="325"/>
      <c r="L87" s="325"/>
      <c r="M87" s="329"/>
      <c r="N87" s="329"/>
      <c r="O87" s="329"/>
      <c r="P87" s="329"/>
      <c r="Q87" s="325"/>
      <c r="R87" s="325"/>
      <c r="S87" s="325"/>
      <c r="T87" s="325"/>
      <c r="U87" s="329"/>
      <c r="V87" s="329"/>
      <c r="W87" s="329"/>
      <c r="X87" s="329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30"/>
      <c r="AP87" s="331"/>
      <c r="AQ87" s="331"/>
      <c r="AR87" s="33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3"/>
    </row>
    <row r="88" spans="1:60" ht="15">
      <c r="A88" s="325"/>
      <c r="B88" s="325"/>
      <c r="C88" s="324"/>
      <c r="D88" s="324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6"/>
      <c r="AP88" s="101"/>
      <c r="AQ88" s="101"/>
      <c r="AR88" s="327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3"/>
    </row>
    <row r="89" spans="1:60" ht="15">
      <c r="A89" s="325"/>
      <c r="B89" s="325"/>
      <c r="C89" s="324"/>
      <c r="D89" s="324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30"/>
      <c r="AP89" s="331"/>
      <c r="AQ89" s="331"/>
      <c r="AR89" s="33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3"/>
    </row>
    <row r="90" spans="1:60" ht="15">
      <c r="A90" s="325"/>
      <c r="B90" s="325"/>
      <c r="C90" s="324"/>
      <c r="D90" s="324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6"/>
      <c r="AP90" s="101"/>
      <c r="AQ90" s="101"/>
      <c r="AR90" s="327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3"/>
    </row>
    <row r="91" spans="1:60" ht="15">
      <c r="A91" s="325"/>
      <c r="B91" s="325"/>
      <c r="C91" s="328"/>
      <c r="D91" s="328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5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5"/>
      <c r="AH91" s="325"/>
      <c r="AI91" s="325"/>
      <c r="AJ91" s="325"/>
      <c r="AK91" s="325"/>
      <c r="AL91" s="325"/>
      <c r="AM91" s="325"/>
      <c r="AN91" s="325"/>
      <c r="AO91" s="330"/>
      <c r="AP91" s="331"/>
      <c r="AQ91" s="331"/>
      <c r="AR91" s="33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3"/>
    </row>
    <row r="92" spans="1:60" ht="15">
      <c r="A92" s="325"/>
      <c r="B92" s="325"/>
      <c r="C92" s="328"/>
      <c r="D92" s="328"/>
      <c r="E92" s="325"/>
      <c r="F92" s="325"/>
      <c r="G92" s="325"/>
      <c r="H92" s="325"/>
      <c r="I92" s="325"/>
      <c r="J92" s="325"/>
      <c r="K92" s="325"/>
      <c r="L92" s="325"/>
      <c r="M92" s="329"/>
      <c r="N92" s="329"/>
      <c r="O92" s="329"/>
      <c r="P92" s="329"/>
      <c r="Q92" s="325"/>
      <c r="R92" s="325"/>
      <c r="S92" s="325"/>
      <c r="T92" s="325"/>
      <c r="U92" s="325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5"/>
      <c r="AH92" s="325"/>
      <c r="AI92" s="325"/>
      <c r="AJ92" s="325"/>
      <c r="AK92" s="325"/>
      <c r="AL92" s="325"/>
      <c r="AM92" s="325"/>
      <c r="AN92" s="325"/>
      <c r="AO92" s="326"/>
      <c r="AP92" s="101"/>
      <c r="AQ92" s="101"/>
      <c r="AR92" s="327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3"/>
    </row>
    <row r="93" spans="1:60" ht="15">
      <c r="A93" s="325"/>
      <c r="B93" s="325"/>
      <c r="C93" s="328"/>
      <c r="D93" s="328"/>
      <c r="E93" s="325"/>
      <c r="F93" s="325"/>
      <c r="G93" s="325"/>
      <c r="H93" s="325"/>
      <c r="I93" s="325"/>
      <c r="J93" s="325"/>
      <c r="K93" s="325"/>
      <c r="L93" s="325"/>
      <c r="M93" s="329"/>
      <c r="N93" s="329"/>
      <c r="O93" s="329"/>
      <c r="P93" s="329"/>
      <c r="Q93" s="329"/>
      <c r="R93" s="329"/>
      <c r="S93" s="329"/>
      <c r="T93" s="329"/>
      <c r="U93" s="325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5"/>
      <c r="AH93" s="325"/>
      <c r="AI93" s="325"/>
      <c r="AJ93" s="325"/>
      <c r="AK93" s="325"/>
      <c r="AL93" s="325"/>
      <c r="AM93" s="325"/>
      <c r="AN93" s="325"/>
      <c r="AO93" s="330"/>
      <c r="AP93" s="331"/>
      <c r="AQ93" s="331"/>
      <c r="AR93" s="33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3"/>
    </row>
    <row r="94" spans="1:60" ht="15">
      <c r="A94" s="325"/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325"/>
      <c r="AE94" s="325"/>
      <c r="AF94" s="325"/>
      <c r="AG94" s="325"/>
      <c r="AH94" s="325"/>
      <c r="AI94" s="325"/>
      <c r="AJ94" s="325"/>
      <c r="AK94" s="325"/>
      <c r="AL94" s="325"/>
      <c r="AM94" s="325"/>
      <c r="AN94" s="325"/>
      <c r="AO94" s="326"/>
      <c r="AP94" s="101"/>
      <c r="AQ94" s="101"/>
      <c r="AR94" s="327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3"/>
    </row>
    <row r="95" spans="1:44" ht="15">
      <c r="A95" s="325"/>
      <c r="B95" s="325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5"/>
      <c r="N95" s="325"/>
      <c r="O95" s="325"/>
      <c r="P95" s="325"/>
      <c r="Q95" s="325"/>
      <c r="R95" s="325"/>
      <c r="S95" s="325"/>
      <c r="T95" s="325"/>
      <c r="U95" s="325"/>
      <c r="V95" s="329"/>
      <c r="W95" s="329"/>
      <c r="X95" s="325"/>
      <c r="Y95" s="329"/>
      <c r="Z95" s="329"/>
      <c r="AA95" s="329"/>
      <c r="AB95" s="329"/>
      <c r="AC95" s="329"/>
      <c r="AD95" s="329"/>
      <c r="AE95" s="329"/>
      <c r="AF95" s="329"/>
      <c r="AG95" s="325"/>
      <c r="AH95" s="325"/>
      <c r="AI95" s="325"/>
      <c r="AJ95" s="325"/>
      <c r="AK95" s="325"/>
      <c r="AL95" s="325"/>
      <c r="AM95" s="325"/>
      <c r="AN95" s="325"/>
      <c r="AO95" s="330"/>
      <c r="AP95" s="331"/>
      <c r="AQ95" s="331"/>
      <c r="AR95" s="332"/>
    </row>
  </sheetData>
  <sheetProtection selectLockedCells="1" selectUnlockedCells="1"/>
  <mergeCells count="23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O3"/>
    <mergeCell ref="AP2:AP3"/>
    <mergeCell ref="AQ2:AQ3"/>
    <mergeCell ref="AR2:AR3"/>
    <mergeCell ref="AQ4:AQ8"/>
    <mergeCell ref="AQ9:AQ13"/>
    <mergeCell ref="AQ14:AQ18"/>
    <mergeCell ref="AQ19:AQ23"/>
    <mergeCell ref="AQ24:AQ29"/>
    <mergeCell ref="AQ30:AQ34"/>
    <mergeCell ref="AQ35:AQ39"/>
    <mergeCell ref="AQ40:AQ44"/>
    <mergeCell ref="AQ45:AQ5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U49"/>
  <sheetViews>
    <sheetView zoomScale="85" zoomScaleNormal="85" workbookViewId="0" topLeftCell="A1">
      <selection activeCell="AM2" sqref="AM2"/>
    </sheetView>
  </sheetViews>
  <sheetFormatPr defaultColWidth="9.140625" defaultRowHeight="12.75"/>
  <cols>
    <col min="1" max="1" width="24.140625" style="0" customWidth="1"/>
    <col min="2" max="2" width="30.00390625" style="0" customWidth="1"/>
    <col min="3" max="38" width="2.7109375" style="335" customWidth="1"/>
    <col min="39" max="39" width="6.8515625" style="335" customWidth="1"/>
    <col min="40" max="40" width="9.7109375" style="21" customWidth="1"/>
    <col min="41" max="41" width="16.28125" style="0" customWidth="1"/>
  </cols>
  <sheetData>
    <row r="2" spans="1:41" ht="14.25">
      <c r="A2" s="336"/>
      <c r="B2" s="336"/>
      <c r="C2" s="337" t="s">
        <v>78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 t="s">
        <v>79</v>
      </c>
      <c r="AN2" s="338" t="s">
        <v>80</v>
      </c>
      <c r="AO2" s="339"/>
    </row>
    <row r="3" spans="1:41" ht="13.5" customHeight="1">
      <c r="A3" s="124" t="s">
        <v>42</v>
      </c>
      <c r="B3" s="125" t="s">
        <v>43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340">
        <f>SUM('[1]spliti'!C3:AL3)</f>
        <v>0</v>
      </c>
      <c r="AN3" s="341">
        <f>spliti!AM3*0.3</f>
        <v>0</v>
      </c>
      <c r="AO3" s="342">
        <f>AN3+AN4+AN5+AN6+AN7</f>
        <v>0</v>
      </c>
    </row>
    <row r="4" spans="1:41" ht="13.5" customHeight="1">
      <c r="A4" s="144" t="s">
        <v>42</v>
      </c>
      <c r="B4" s="145" t="s">
        <v>44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340">
        <f>SUM('[1]spliti'!C4:AL4)</f>
        <v>0</v>
      </c>
      <c r="AN4" s="341">
        <f>spliti!AM4*0.3</f>
        <v>0</v>
      </c>
      <c r="AO4" s="342"/>
    </row>
    <row r="5" spans="1:41" ht="13.5" customHeight="1">
      <c r="A5" s="144" t="s">
        <v>42</v>
      </c>
      <c r="B5" s="157" t="s">
        <v>45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340">
        <f>SUM('[1]spliti'!C5:AL5)</f>
        <v>0</v>
      </c>
      <c r="AN5" s="341">
        <f>spliti!AM5*0.3</f>
        <v>0</v>
      </c>
      <c r="AO5" s="342"/>
    </row>
    <row r="6" spans="1:41" ht="13.5" customHeight="1">
      <c r="A6" s="144" t="s">
        <v>42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340">
        <f>SUM('[1]spliti'!C6:AL6)</f>
        <v>0</v>
      </c>
      <c r="AN6" s="341">
        <f>spliti!AM6*0.3</f>
        <v>0</v>
      </c>
      <c r="AO6" s="342"/>
    </row>
    <row r="7" spans="1:41" ht="13.5" customHeight="1">
      <c r="A7" s="144" t="s">
        <v>42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340">
        <f>SUM('[1]spliti'!C7:AL7)</f>
        <v>0</v>
      </c>
      <c r="AN7" s="341">
        <f>spliti!AM7*0.3</f>
        <v>0</v>
      </c>
      <c r="AO7" s="342"/>
    </row>
    <row r="8" spans="1:41" ht="13.5" customHeight="1">
      <c r="A8" s="124" t="s">
        <v>27</v>
      </c>
      <c r="B8" s="189" t="s">
        <v>48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340">
        <f>SUM('[1]spliti'!C8:AL8)</f>
        <v>0</v>
      </c>
      <c r="AN8" s="341">
        <f>spliti!AM8*0.3</f>
        <v>0</v>
      </c>
      <c r="AO8" s="343">
        <f>AN8+AN9+AN10+AN11+AN12+AN13</f>
        <v>0</v>
      </c>
    </row>
    <row r="9" spans="1:41" ht="13.5" customHeight="1">
      <c r="A9" s="144" t="s">
        <v>27</v>
      </c>
      <c r="B9" s="201" t="s">
        <v>49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340">
        <f>SUM('[1]spliti'!C9:AL9)</f>
        <v>0</v>
      </c>
      <c r="AN9" s="341">
        <f>spliti!AM9*0.3</f>
        <v>0</v>
      </c>
      <c r="AO9" s="343"/>
    </row>
    <row r="10" spans="1:70" ht="13.5" customHeight="1">
      <c r="A10" s="144" t="s">
        <v>27</v>
      </c>
      <c r="B10" s="157" t="s">
        <v>50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340">
        <f>SUM('[1]spliti'!C10:AL10)</f>
        <v>0</v>
      </c>
      <c r="AN10" s="341">
        <f>spliti!AM10*0.3</f>
        <v>0</v>
      </c>
      <c r="AO10" s="343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</row>
    <row r="11" spans="1:70" ht="13.5" customHeight="1">
      <c r="A11" s="144" t="s">
        <v>27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340">
        <f>SUM('[1]spliti'!C11:AL11)</f>
        <v>0</v>
      </c>
      <c r="AN11" s="341">
        <f>spliti!AM11*0.3</f>
        <v>0</v>
      </c>
      <c r="AO11" s="343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</row>
    <row r="12" spans="1:41" ht="13.5" customHeight="1">
      <c r="A12" s="221" t="s">
        <v>27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340">
        <f>SUM('[1]spliti'!C12:AL12)</f>
        <v>0</v>
      </c>
      <c r="AN12" s="341">
        <f>spliti!AM12*0.3</f>
        <v>0</v>
      </c>
      <c r="AO12" s="343"/>
    </row>
    <row r="13" spans="1:41" ht="13.5" customHeight="1">
      <c r="A13" s="124" t="s">
        <v>81</v>
      </c>
      <c r="B13" s="125" t="s">
        <v>82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340">
        <f>SUM('[1]spliti'!C13:AL13)</f>
        <v>0</v>
      </c>
      <c r="AN13" s="341">
        <f>spliti!AM13*0.3</f>
        <v>0</v>
      </c>
      <c r="AO13" s="343"/>
    </row>
    <row r="14" spans="1:41" ht="13.5" customHeight="1">
      <c r="A14" s="144" t="s">
        <v>81</v>
      </c>
      <c r="B14" s="228" t="s">
        <v>83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340">
        <f>SUM('[1]spliti'!C14:AL14)</f>
        <v>0</v>
      </c>
      <c r="AN14" s="341">
        <f>spliti!AM14*0.3</f>
        <v>0</v>
      </c>
      <c r="AO14" s="345">
        <f>AN14+AN15+AN16+AN17+AN18</f>
        <v>0</v>
      </c>
    </row>
    <row r="15" spans="1:73" s="346" customFormat="1" ht="13.5" customHeight="1">
      <c r="A15" s="144" t="s">
        <v>81</v>
      </c>
      <c r="B15" s="228" t="s">
        <v>84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340">
        <f>SUM('[1]spliti'!C15:AL15)</f>
        <v>0</v>
      </c>
      <c r="AN15" s="341">
        <f>spliti!AM15*0.3</f>
        <v>0</v>
      </c>
      <c r="AO15" s="345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</row>
    <row r="16" spans="1:73" s="346" customFormat="1" ht="13.5" customHeight="1">
      <c r="A16" s="144" t="s">
        <v>81</v>
      </c>
      <c r="B16" s="228" t="s">
        <v>85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340">
        <f>SUM('[1]spliti'!C16:AL16)</f>
        <v>0</v>
      </c>
      <c r="AN16" s="341">
        <f>spliti!AM16*0.3</f>
        <v>0</v>
      </c>
      <c r="AO16" s="345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</row>
    <row r="17" spans="1:73" s="346" customFormat="1" ht="13.5" customHeight="1">
      <c r="A17" s="229" t="s">
        <v>81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340">
        <f>SUM('[1]spliti'!C17:AL17)</f>
        <v>0</v>
      </c>
      <c r="AN17" s="341">
        <f>spliti!AM17*0.3</f>
        <v>0</v>
      </c>
      <c r="AO17" s="345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</row>
    <row r="18" spans="1:73" s="346" customFormat="1" ht="13.5" customHeight="1">
      <c r="A18" s="239" t="s">
        <v>29</v>
      </c>
      <c r="B18" s="145" t="s">
        <v>58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340">
        <f>SUM('[1]spliti'!C18:AL18)</f>
        <v>0</v>
      </c>
      <c r="AN18" s="341">
        <f>spliti!AM18*0.3</f>
        <v>0</v>
      </c>
      <c r="AO18" s="345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</row>
    <row r="19" spans="1:73" s="346" customFormat="1" ht="13.5" customHeight="1">
      <c r="A19" s="242" t="s">
        <v>29</v>
      </c>
      <c r="B19" s="228" t="s">
        <v>59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340">
        <f>SUM('[1]spliti'!C19:AL19)</f>
        <v>0</v>
      </c>
      <c r="AN19" s="341">
        <f>spliti!AM19*0.3</f>
        <v>0</v>
      </c>
      <c r="AO19" s="347">
        <f>AN19+AN20+AN21+AN22+AN23</f>
        <v>0</v>
      </c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</row>
    <row r="20" spans="1:73" s="346" customFormat="1" ht="13.5" customHeight="1">
      <c r="A20" s="242" t="s">
        <v>29</v>
      </c>
      <c r="B20" s="157" t="s">
        <v>60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340">
        <f>SUM('[1]spliti'!C20:AL20)</f>
        <v>0</v>
      </c>
      <c r="AN20" s="341">
        <f>spliti!AM20*0.3</f>
        <v>0</v>
      </c>
      <c r="AO20" s="347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</row>
    <row r="21" spans="1:73" s="346" customFormat="1" ht="13.5" customHeight="1">
      <c r="A21" s="242" t="s">
        <v>29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340">
        <f>SUM('[1]spliti'!C21:AL21)</f>
        <v>0</v>
      </c>
      <c r="AN21" s="341">
        <f>spliti!AM21*0.3</f>
        <v>0</v>
      </c>
      <c r="AO21" s="347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</row>
    <row r="22" spans="1:73" s="346" customFormat="1" ht="13.5" customHeight="1">
      <c r="A22" s="250" t="s">
        <v>29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340">
        <f>SUM('[1]spliti'!C22:AL22)</f>
        <v>0</v>
      </c>
      <c r="AN22" s="341">
        <f>spliti!AM22*0.3</f>
        <v>0</v>
      </c>
      <c r="AO22" s="347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</row>
    <row r="23" spans="1:73" s="346" customFormat="1" ht="13.5" customHeight="1">
      <c r="A23" s="124" t="s">
        <v>30</v>
      </c>
      <c r="B23" s="125" t="s">
        <v>62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340">
        <f>SUM('[1]spliti'!C23:AL23)</f>
        <v>0</v>
      </c>
      <c r="AN23" s="341">
        <f>spliti!AM23*0.3</f>
        <v>0</v>
      </c>
      <c r="AO23" s="347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  <c r="BR23" s="344"/>
      <c r="BS23" s="344"/>
      <c r="BT23" s="344"/>
      <c r="BU23" s="344"/>
    </row>
    <row r="24" spans="1:73" s="346" customFormat="1" ht="13.5" customHeight="1">
      <c r="A24" s="144" t="s">
        <v>30</v>
      </c>
      <c r="B24" s="254" t="s">
        <v>63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340">
        <f>SUM('[1]spliti'!C24:AL24)</f>
        <v>0</v>
      </c>
      <c r="AN24" s="341">
        <f>spliti!AM24*0.3</f>
        <v>0</v>
      </c>
      <c r="AO24" s="348">
        <f>AN24+AN25+AN26+AN27+AN28+AN29</f>
        <v>0</v>
      </c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</row>
    <row r="25" spans="1:73" s="346" customFormat="1" ht="13.5" customHeight="1">
      <c r="A25" s="144" t="s">
        <v>30</v>
      </c>
      <c r="B25" s="222" t="s">
        <v>64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340">
        <f>SUM('[1]spliti'!C25:AL25)</f>
        <v>0</v>
      </c>
      <c r="AN25" s="341">
        <f>spliti!AM25*0.3</f>
        <v>0</v>
      </c>
      <c r="AO25" s="348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</row>
    <row r="26" spans="1:73" s="346" customFormat="1" ht="13.5" customHeight="1">
      <c r="A26" s="144" t="s">
        <v>30</v>
      </c>
      <c r="B26" s="222" t="s">
        <v>65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340">
        <f>SUM('[1]spliti'!C26:AL26)</f>
        <v>0</v>
      </c>
      <c r="AN26" s="341">
        <f>spliti!AM26*0.3</f>
        <v>0</v>
      </c>
      <c r="AO26" s="348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</row>
    <row r="27" spans="1:50" s="346" customFormat="1" ht="13.5" customHeight="1">
      <c r="A27" s="144" t="s">
        <v>30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340">
        <f>SUM('[1]spliti'!C27:AL27)</f>
        <v>0</v>
      </c>
      <c r="AN27" s="341">
        <f>spliti!AM27*0.3</f>
        <v>0</v>
      </c>
      <c r="AO27" s="348"/>
      <c r="AP27" s="344"/>
      <c r="AQ27" s="344"/>
      <c r="AR27" s="344"/>
      <c r="AS27" s="344"/>
      <c r="AT27" s="344"/>
      <c r="AU27" s="344"/>
      <c r="AV27" s="344"/>
      <c r="AW27" s="344"/>
      <c r="AX27" s="344"/>
    </row>
    <row r="28" spans="1:50" s="346" customFormat="1" ht="13.5" customHeight="1">
      <c r="A28" s="221" t="s">
        <v>30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340">
        <f>SUM('[1]spliti'!C28:AL28)</f>
        <v>0</v>
      </c>
      <c r="AN28" s="341">
        <f>spliti!AM28*0.3</f>
        <v>0</v>
      </c>
      <c r="AO28" s="348"/>
      <c r="AP28" s="344"/>
      <c r="AQ28" s="344"/>
      <c r="AR28" s="344"/>
      <c r="AS28" s="344"/>
      <c r="AT28" s="344"/>
      <c r="AU28" s="344"/>
      <c r="AV28" s="344"/>
      <c r="AW28" s="344"/>
      <c r="AX28" s="344"/>
    </row>
    <row r="29" spans="1:50" s="346" customFormat="1" ht="13.5" customHeight="1">
      <c r="A29" s="266" t="s">
        <v>86</v>
      </c>
      <c r="B29" s="125" t="s">
        <v>66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340">
        <f>SUM('[1]spliti'!C29:AL29)</f>
        <v>0</v>
      </c>
      <c r="AN29" s="341">
        <f>spliti!AM29*0.3</f>
        <v>0</v>
      </c>
      <c r="AO29" s="348"/>
      <c r="AP29" s="344"/>
      <c r="AQ29" s="344"/>
      <c r="AR29" s="344"/>
      <c r="AS29" s="344"/>
      <c r="AT29" s="344"/>
      <c r="AU29" s="344"/>
      <c r="AV29" s="344"/>
      <c r="AW29" s="344"/>
      <c r="AX29" s="344"/>
    </row>
    <row r="30" spans="1:50" s="346" customFormat="1" ht="13.5" customHeight="1">
      <c r="A30" s="242" t="s">
        <v>86</v>
      </c>
      <c r="B30" s="145" t="s">
        <v>67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340">
        <f>SUM('[1]spliti'!C30:AL30)</f>
        <v>0</v>
      </c>
      <c r="AN30" s="341">
        <f>spliti!AM30*0.3</f>
        <v>0</v>
      </c>
      <c r="AO30" s="343">
        <f>AN30+AN31+AN32+AN33+AN34</f>
        <v>0</v>
      </c>
      <c r="AP30" s="344"/>
      <c r="AQ30" s="344"/>
      <c r="AR30" s="344"/>
      <c r="AS30" s="344"/>
      <c r="AT30" s="344"/>
      <c r="AU30" s="344"/>
      <c r="AV30" s="344"/>
      <c r="AW30" s="344"/>
      <c r="AX30" s="344"/>
    </row>
    <row r="31" spans="1:50" s="346" customFormat="1" ht="13.5" customHeight="1">
      <c r="A31" s="242" t="s">
        <v>86</v>
      </c>
      <c r="B31" s="145" t="s">
        <v>68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340">
        <f>SUM('[1]spliti'!C31:AL31)</f>
        <v>0</v>
      </c>
      <c r="AN31" s="341">
        <f>spliti!AM31*0.3</f>
        <v>0</v>
      </c>
      <c r="AO31" s="343"/>
      <c r="AP31" s="344"/>
      <c r="AQ31" s="344"/>
      <c r="AR31" s="344"/>
      <c r="AS31" s="344"/>
      <c r="AT31" s="344"/>
      <c r="AU31" s="344"/>
      <c r="AV31" s="344"/>
      <c r="AW31" s="344"/>
      <c r="AX31" s="344"/>
    </row>
    <row r="32" spans="1:50" s="346" customFormat="1" ht="13.5" customHeight="1">
      <c r="A32" s="242" t="s">
        <v>86</v>
      </c>
      <c r="B32" s="228" t="s">
        <v>87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340">
        <f>SUM('[1]spliti'!C32:AL32)</f>
        <v>0</v>
      </c>
      <c r="AN32" s="341">
        <f>spliti!AM32*0.3</f>
        <v>0</v>
      </c>
      <c r="AO32" s="343"/>
      <c r="AP32" s="344"/>
      <c r="AQ32" s="344"/>
      <c r="AR32" s="344"/>
      <c r="AS32" s="344"/>
      <c r="AT32" s="344"/>
      <c r="AU32" s="344"/>
      <c r="AV32" s="344"/>
      <c r="AW32" s="344"/>
      <c r="AX32" s="344"/>
    </row>
    <row r="33" spans="1:50" s="346" customFormat="1" ht="13.5" customHeight="1">
      <c r="A33" s="276" t="s">
        <v>86</v>
      </c>
      <c r="B33" s="230" t="s">
        <v>88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340">
        <f>SUM('[1]spliti'!C33:AL33)</f>
        <v>0</v>
      </c>
      <c r="AN33" s="341">
        <f>spliti!AM33*0.3</f>
        <v>0</v>
      </c>
      <c r="AO33" s="343"/>
      <c r="AP33" s="344"/>
      <c r="AQ33" s="344"/>
      <c r="AR33" s="344"/>
      <c r="AS33" s="344"/>
      <c r="AT33" s="344"/>
      <c r="AU33" s="344"/>
      <c r="AV33" s="344"/>
      <c r="AW33" s="344"/>
      <c r="AX33" s="344"/>
    </row>
    <row r="34" spans="1:50" ht="12.75" customHeight="1">
      <c r="A34" s="239" t="s">
        <v>32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340">
        <f>SUM('[1]spliti'!C34:AL34)</f>
        <v>0</v>
      </c>
      <c r="AN34" s="341">
        <f>spliti!AM34*0.3</f>
        <v>0</v>
      </c>
      <c r="AO34" s="343"/>
      <c r="AP34" s="344"/>
      <c r="AQ34" s="344"/>
      <c r="AR34" s="344"/>
      <c r="AS34" s="344"/>
      <c r="AT34" s="344"/>
      <c r="AU34" s="344"/>
      <c r="AV34" s="344"/>
      <c r="AW34" s="344"/>
      <c r="AX34" s="344"/>
    </row>
    <row r="35" spans="1:50" ht="12.75" customHeight="1">
      <c r="A35" s="239" t="s">
        <v>32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340">
        <f>SUM('[1]spliti'!C35:AL35)</f>
        <v>0</v>
      </c>
      <c r="AN35" s="341">
        <f>spliti!AM35*0.3</f>
        <v>0</v>
      </c>
      <c r="AO35" s="345">
        <f>AN35+AN36+AN37+AN38+AN39</f>
        <v>0</v>
      </c>
      <c r="AP35" s="344"/>
      <c r="AQ35" s="344"/>
      <c r="AR35" s="344"/>
      <c r="AS35" s="344"/>
      <c r="AT35" s="344"/>
      <c r="AU35" s="344"/>
      <c r="AV35" s="344"/>
      <c r="AW35" s="344"/>
      <c r="AX35" s="344"/>
    </row>
    <row r="36" spans="1:50" ht="12.75" customHeight="1">
      <c r="A36" s="239" t="s">
        <v>32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340">
        <f>SUM('[1]spliti'!C36:AL36)</f>
        <v>0</v>
      </c>
      <c r="AN36" s="341">
        <f>spliti!AM36*0.3</f>
        <v>0</v>
      </c>
      <c r="AO36" s="345"/>
      <c r="AP36" s="344"/>
      <c r="AQ36" s="344"/>
      <c r="AR36" s="344"/>
      <c r="AS36" s="344"/>
      <c r="AT36" s="344"/>
      <c r="AU36" s="344"/>
      <c r="AV36" s="344"/>
      <c r="AW36" s="344"/>
      <c r="AX36" s="344"/>
    </row>
    <row r="37" spans="1:50" ht="12.75" customHeight="1">
      <c r="A37" s="239" t="s">
        <v>32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340">
        <f>SUM('[1]spliti'!C37:AL37)</f>
        <v>0</v>
      </c>
      <c r="AN37" s="341">
        <f>spliti!AM37*0.3</f>
        <v>0</v>
      </c>
      <c r="AO37" s="345"/>
      <c r="AP37" s="344"/>
      <c r="AQ37" s="344"/>
      <c r="AR37" s="344"/>
      <c r="AS37" s="344"/>
      <c r="AT37" s="344"/>
      <c r="AU37" s="344"/>
      <c r="AV37" s="344"/>
      <c r="AW37" s="344"/>
      <c r="AX37" s="344"/>
    </row>
    <row r="38" spans="1:50" ht="12.75" customHeight="1">
      <c r="A38" s="286" t="s">
        <v>32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340">
        <f>SUM('[1]spliti'!C38:AL38)</f>
        <v>0</v>
      </c>
      <c r="AN38" s="341">
        <f>spliti!AM38*0.3</f>
        <v>0</v>
      </c>
      <c r="AO38" s="345"/>
      <c r="AP38" s="344"/>
      <c r="AQ38" s="344"/>
      <c r="AR38" s="344"/>
      <c r="AS38" s="344"/>
      <c r="AT38" s="344"/>
      <c r="AU38" s="344"/>
      <c r="AV38" s="344"/>
      <c r="AW38" s="344"/>
      <c r="AX38" s="344"/>
    </row>
    <row r="39" spans="1:50" ht="12.75" customHeight="1">
      <c r="A39" s="239" t="s">
        <v>89</v>
      </c>
      <c r="B39" s="201" t="s">
        <v>90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340">
        <f>SUM('[1]spliti'!C39:AL39)</f>
        <v>0</v>
      </c>
      <c r="AN39" s="341">
        <f>spliti!AM39*0.3</f>
        <v>0</v>
      </c>
      <c r="AO39" s="345"/>
      <c r="AP39" s="344"/>
      <c r="AQ39" s="344"/>
      <c r="AR39" s="344"/>
      <c r="AS39" s="344"/>
      <c r="AT39" s="344"/>
      <c r="AU39" s="344"/>
      <c r="AV39" s="344"/>
      <c r="AW39" s="344"/>
      <c r="AX39" s="344"/>
    </row>
    <row r="40" spans="1:50" ht="12.75" customHeight="1">
      <c r="A40" s="242" t="s">
        <v>89</v>
      </c>
      <c r="B40" s="228" t="s">
        <v>91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340">
        <f>SUM('[1]spliti'!C40:AL40)</f>
        <v>0</v>
      </c>
      <c r="AN40" s="341">
        <f>spliti!AM40*0.3</f>
        <v>0</v>
      </c>
      <c r="AO40" s="349">
        <f>AN40+AN41+AN42+AN43+AN44</f>
        <v>0</v>
      </c>
      <c r="AP40" s="344"/>
      <c r="AQ40" s="344"/>
      <c r="AR40" s="344"/>
      <c r="AS40" s="344"/>
      <c r="AT40" s="344"/>
      <c r="AU40" s="344"/>
      <c r="AV40" s="344"/>
      <c r="AW40" s="344"/>
      <c r="AX40" s="344"/>
    </row>
    <row r="41" spans="1:50" ht="12.75" customHeight="1">
      <c r="A41" s="242" t="s">
        <v>89</v>
      </c>
      <c r="B41" s="157" t="s">
        <v>92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340">
        <f>SUM('[1]spliti'!C41:AL41)</f>
        <v>0</v>
      </c>
      <c r="AN41" s="341">
        <f>spliti!AM41*0.3</f>
        <v>0</v>
      </c>
      <c r="AO41" s="349"/>
      <c r="AP41" s="344"/>
      <c r="AQ41" s="344"/>
      <c r="AR41" s="344"/>
      <c r="AS41" s="344"/>
      <c r="AT41" s="344"/>
      <c r="AU41" s="344"/>
      <c r="AV41" s="344"/>
      <c r="AW41" s="344"/>
      <c r="AX41" s="344"/>
    </row>
    <row r="42" spans="1:50" ht="12.75" customHeight="1">
      <c r="A42" s="242" t="s">
        <v>89</v>
      </c>
      <c r="B42" s="228" t="s">
        <v>93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340">
        <f>SUM('[1]spliti'!C42:AL42)</f>
        <v>0</v>
      </c>
      <c r="AN42" s="341">
        <f>spliti!AM42*0.3</f>
        <v>0</v>
      </c>
      <c r="AO42" s="349"/>
      <c r="AP42" s="344"/>
      <c r="AQ42" s="344"/>
      <c r="AR42" s="344"/>
      <c r="AS42" s="344"/>
      <c r="AT42" s="344"/>
      <c r="AU42" s="344"/>
      <c r="AV42" s="344"/>
      <c r="AW42" s="344"/>
      <c r="AX42" s="344"/>
    </row>
    <row r="43" spans="1:50" ht="12.75" customHeight="1">
      <c r="A43" s="250" t="s">
        <v>89</v>
      </c>
      <c r="B43" s="173" t="s">
        <v>94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340">
        <f>SUM('[1]spliti'!C43:AL43)</f>
        <v>0</v>
      </c>
      <c r="AN43" s="341">
        <f>spliti!AM43*0.3</f>
        <v>0</v>
      </c>
      <c r="AO43" s="349"/>
      <c r="AP43" s="344"/>
      <c r="AQ43" s="344"/>
      <c r="AR43" s="344"/>
      <c r="AS43" s="344"/>
      <c r="AT43" s="344"/>
      <c r="AU43" s="344"/>
      <c r="AV43" s="344"/>
      <c r="AW43" s="344"/>
      <c r="AX43" s="344"/>
    </row>
    <row r="44" spans="1:50" ht="12.75" customHeight="1">
      <c r="A44" s="266" t="s">
        <v>95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340">
        <f>SUM('[1]spliti'!C44:AL44)</f>
        <v>0</v>
      </c>
      <c r="AN44" s="341">
        <f>spliti!AM44*0.3</f>
        <v>0</v>
      </c>
      <c r="AO44" s="349"/>
      <c r="AP44" s="344"/>
      <c r="AQ44" s="344"/>
      <c r="AR44" s="344"/>
      <c r="AS44" s="344"/>
      <c r="AT44" s="344"/>
      <c r="AU44" s="344"/>
      <c r="AV44" s="344"/>
      <c r="AW44" s="344"/>
      <c r="AX44" s="344"/>
    </row>
    <row r="45" spans="1:50" ht="12.75" customHeight="1">
      <c r="A45" s="242" t="s">
        <v>95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340">
        <f>spliti!AL45+spliti!AK45+spliti!AJ45+spliti!AI45+spliti!AH45+spliti!AG45+spliti!AF45+spliti!AE45+spliti!AD45+spliti!AC45+spliti!AB45+spliti!AA45+spliti!Z45+spliti!Y45+spliti!X45+spliti!W45+spliti!V45+spliti!U45+spliti!T45+spliti!S45+spliti!R45+spliti!Q45+spliti!P45+spliti!O45+spliti!N45+spliti!M45+spliti!L45+spliti!K45+spliti!J45+spliti!I45+spliti!H45+spliti!G45+spliti!F45+spliti!E45+spliti!D45+spliti!C45</f>
        <v>0</v>
      </c>
      <c r="AN45" s="341">
        <f>spliti!AM45*0.3</f>
        <v>0</v>
      </c>
      <c r="AO45" s="342"/>
      <c r="AP45" s="344"/>
      <c r="AQ45" s="344"/>
      <c r="AR45" s="344"/>
      <c r="AS45" s="344"/>
      <c r="AT45" s="344"/>
      <c r="AU45" s="344"/>
      <c r="AV45" s="344"/>
      <c r="AW45" s="344"/>
      <c r="AX45" s="344"/>
    </row>
    <row r="46" spans="1:50" ht="12.75" customHeight="1">
      <c r="A46" s="242" t="s">
        <v>95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340">
        <f>spliti!AL46+spliti!AK46+spliti!AJ46+spliti!AI46+spliti!AH46+spliti!AG46+spliti!AF46+spliti!AE46+spliti!AD46+spliti!AC46+spliti!AB46+spliti!AA46+spliti!Z46+spliti!Y46+spliti!X46+spliti!W46+spliti!V46+spliti!U46+spliti!T46+spliti!S46+spliti!R46+spliti!Q46+spliti!P46+spliti!O46+spliti!N46+spliti!M46+spliti!L46+spliti!K46+spliti!J46+spliti!I46+spliti!H46+spliti!G46+spliti!F46+spliti!E46+spliti!D46+spliti!C46</f>
        <v>0</v>
      </c>
      <c r="AN46" s="341">
        <f>spliti!AM46*0.3</f>
        <v>0</v>
      </c>
      <c r="AO46" s="342"/>
      <c r="AP46" s="344"/>
      <c r="AQ46" s="344"/>
      <c r="AR46" s="344"/>
      <c r="AS46" s="344"/>
      <c r="AT46" s="344"/>
      <c r="AU46" s="344"/>
      <c r="AV46" s="344"/>
      <c r="AW46" s="344"/>
      <c r="AX46" s="344"/>
    </row>
    <row r="47" spans="1:50" ht="12.75" customHeight="1">
      <c r="A47" s="242" t="s">
        <v>95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340">
        <f>spliti!AL47+spliti!AK47+spliti!AJ47+spliti!AI47+spliti!AH47+spliti!AG47+spliti!AF47+spliti!AE47+spliti!AD47+spliti!AC47+spliti!AB47+spliti!AA47+spliti!Z47+spliti!Y47+spliti!X47+spliti!W47+spliti!V47+spliti!U47+spliti!T47+spliti!S47+spliti!R47+spliti!Q47+spliti!P47+spliti!O47+spliti!N47+spliti!M47+spliti!L47+spliti!K47+spliti!J47+spliti!I47+spliti!H47+spliti!G47+spliti!F47+spliti!E47+spliti!D47+spliti!C47</f>
        <v>0</v>
      </c>
      <c r="AN47" s="341">
        <f>spliti!AM47*0.3</f>
        <v>0</v>
      </c>
      <c r="AO47" s="342"/>
      <c r="AP47" s="344"/>
      <c r="AQ47" s="344"/>
      <c r="AR47" s="344"/>
      <c r="AS47" s="344"/>
      <c r="AT47" s="344"/>
      <c r="AU47" s="344"/>
      <c r="AV47" s="344"/>
      <c r="AW47" s="344"/>
      <c r="AX47" s="344"/>
    </row>
    <row r="48" spans="1:50" ht="12.75" customHeight="1">
      <c r="A48" s="300" t="s">
        <v>95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40">
        <f>spliti!AL48+spliti!AK48+spliti!AJ48+spliti!AI48+spliti!AH48+spliti!AG48+spliti!AF48+spliti!AE48+spliti!AD48+spliti!AC48+spliti!AB48+spliti!AA48+spliti!Z48+spliti!Y48+spliti!X48+spliti!W48+spliti!V48+spliti!U48+spliti!T48+spliti!S48+spliti!R48+spliti!Q48+spliti!P48+spliti!O48+spliti!N48+spliti!M48+spliti!L48+spliti!K48+spliti!J48+spliti!I48+spliti!H48+spliti!G48+spliti!F48+spliti!E48+spliti!D48+spliti!C48</f>
        <v>0</v>
      </c>
      <c r="AN48" s="341">
        <f>spliti!AM48*0.3</f>
        <v>0</v>
      </c>
      <c r="AO48" s="342"/>
      <c r="AP48" s="344"/>
      <c r="AQ48" s="344"/>
      <c r="AR48" s="344"/>
      <c r="AS48" s="344"/>
      <c r="AT48" s="344"/>
      <c r="AU48" s="344"/>
      <c r="AV48" s="344"/>
      <c r="AW48" s="344"/>
      <c r="AX48" s="344"/>
    </row>
    <row r="49" spans="1:50" ht="12.75" customHeight="1">
      <c r="A49" s="300" t="s">
        <v>95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40">
        <f>spliti!AL49+spliti!AK49+spliti!AJ49+spliti!AI49+spliti!AH49+spliti!AG49+spliti!AF49+spliti!AE49+spliti!AD49+spliti!AC49+spliti!AB49+spliti!AA49+spliti!Z49+spliti!Y49+spliti!X49+spliti!W49+spliti!V49+spliti!U49+spliti!T49+spliti!S49+spliti!R49+spliti!Q49+spliti!P49+spliti!O49+spliti!N49+spliti!M49+spliti!L49+spliti!K49+spliti!J49+spliti!I49+spliti!H49+spliti!G49+spliti!F49+spliti!E49+spliti!D49+spliti!C49</f>
        <v>0</v>
      </c>
      <c r="AN49" s="341">
        <f>spliti!AM49*0.3</f>
        <v>0</v>
      </c>
      <c r="AO49" s="342"/>
      <c r="AP49" s="344"/>
      <c r="AQ49" s="344"/>
      <c r="AR49" s="344"/>
      <c r="AS49" s="344"/>
      <c r="AT49" s="344"/>
      <c r="AU49" s="344"/>
      <c r="AV49" s="344"/>
      <c r="AW49" s="344"/>
      <c r="AX49" s="344"/>
    </row>
  </sheetData>
  <sheetProtection selectLockedCells="1" selectUnlockedCells="1"/>
  <mergeCells count="18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7"/>
    <mergeCell ref="AO8:AO13"/>
    <mergeCell ref="AO14:AO18"/>
    <mergeCell ref="AO19:AO23"/>
    <mergeCell ref="AO24:AO29"/>
    <mergeCell ref="AO30:AO34"/>
    <mergeCell ref="AO35:AO39"/>
    <mergeCell ref="AO40:AO4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2016-05-27T07:55:00Z</dcterms:modified>
  <cp:category/>
  <cp:version/>
  <cp:contentType/>
  <cp:contentStatus/>
  <cp:revision>86</cp:revision>
</cp:coreProperties>
</file>